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Elenchi_del_personale_20131114_" sheetId="1" r:id="rId1"/>
    <sheet name="Riepilogo costi" sheetId="2" r:id="rId2"/>
  </sheets>
  <definedNames>
    <definedName name="_xlnm.Print_Area" localSheetId="0">'Elenchi_del_personale_20131114_'!$A$1:$L$103</definedName>
    <definedName name="DATABASE">'Elenchi_del_personale_20131114_'!$A$1:$H$102</definedName>
    <definedName name="_xlnm.Print_Titles" localSheetId="0">'Elenchi_del_personale_20131114_'!$1:$2</definedName>
  </definedNames>
  <calcPr fullCalcOnLoad="1"/>
</workbook>
</file>

<file path=xl/sharedStrings.xml><?xml version="1.0" encoding="utf-8"?>
<sst xmlns="http://schemas.openxmlformats.org/spreadsheetml/2006/main" count="612" uniqueCount="313">
  <si>
    <t>COGNOME</t>
  </si>
  <si>
    <t>NOME</t>
  </si>
  <si>
    <t>INI_RAP</t>
  </si>
  <si>
    <t>FIN_RAP</t>
  </si>
  <si>
    <t>100</t>
  </si>
  <si>
    <t>012642</t>
  </si>
  <si>
    <t>AMELIA EUNICE</t>
  </si>
  <si>
    <t>MARIA</t>
  </si>
  <si>
    <t>012874</t>
  </si>
  <si>
    <t>ONTORIA PENA</t>
  </si>
  <si>
    <t>MERCEDES</t>
  </si>
  <si>
    <t>012876</t>
  </si>
  <si>
    <t>WU</t>
  </si>
  <si>
    <t>QI</t>
  </si>
  <si>
    <t>012875</t>
  </si>
  <si>
    <t>DA SILVA MOURINHA</t>
  </si>
  <si>
    <t>MARISA</t>
  </si>
  <si>
    <t>013181</t>
  </si>
  <si>
    <t>PETTINELLI</t>
  </si>
  <si>
    <t>ALESSANDRA</t>
  </si>
  <si>
    <t>013211</t>
  </si>
  <si>
    <t>MUGNANI</t>
  </si>
  <si>
    <t>CATIA</t>
  </si>
  <si>
    <t>C</t>
  </si>
  <si>
    <t>005967</t>
  </si>
  <si>
    <t>MATTEUCCI</t>
  </si>
  <si>
    <t>Caterina</t>
  </si>
  <si>
    <t>EP</t>
  </si>
  <si>
    <t>012671</t>
  </si>
  <si>
    <t>GUASTALVINO</t>
  </si>
  <si>
    <t>BARBARA</t>
  </si>
  <si>
    <t>006622</t>
  </si>
  <si>
    <t>BERNARDI</t>
  </si>
  <si>
    <t>Manuela</t>
  </si>
  <si>
    <t>012395</t>
  </si>
  <si>
    <t>BAROLA</t>
  </si>
  <si>
    <t>SILVIA</t>
  </si>
  <si>
    <t>012396</t>
  </si>
  <si>
    <t>PERSICHINI</t>
  </si>
  <si>
    <t>LETIZIA</t>
  </si>
  <si>
    <t>009808</t>
  </si>
  <si>
    <t>STELLA</t>
  </si>
  <si>
    <t>Maria Francesca</t>
  </si>
  <si>
    <t>012400</t>
  </si>
  <si>
    <t>DINI</t>
  </si>
  <si>
    <t>FRANCESCA</t>
  </si>
  <si>
    <t>012627</t>
  </si>
  <si>
    <t>BUCO</t>
  </si>
  <si>
    <t>012647</t>
  </si>
  <si>
    <t>BIAGINO</t>
  </si>
  <si>
    <t>ARIANNA</t>
  </si>
  <si>
    <t>007439</t>
  </si>
  <si>
    <t>TIBIDO'</t>
  </si>
  <si>
    <t>Claudia</t>
  </si>
  <si>
    <t>010911</t>
  </si>
  <si>
    <t>ROSSI</t>
  </si>
  <si>
    <t>ROBERTA</t>
  </si>
  <si>
    <t>010695</t>
  </si>
  <si>
    <t>CATALUCCI</t>
  </si>
  <si>
    <t>Francesca</t>
  </si>
  <si>
    <t>012287</t>
  </si>
  <si>
    <t>CORNELI</t>
  </si>
  <si>
    <t>Riccardo</t>
  </si>
  <si>
    <t>006330</t>
  </si>
  <si>
    <t>PEDUCCI</t>
  </si>
  <si>
    <t>Monia</t>
  </si>
  <si>
    <t>012141</t>
  </si>
  <si>
    <t>TEMPESTA</t>
  </si>
  <si>
    <t>PAMELA</t>
  </si>
  <si>
    <t>010593</t>
  </si>
  <si>
    <t>BRINDISI</t>
  </si>
  <si>
    <t>007724</t>
  </si>
  <si>
    <t>POLVERINI</t>
  </si>
  <si>
    <t>Maria Angela</t>
  </si>
  <si>
    <t>010807</t>
  </si>
  <si>
    <t>FIORELLA</t>
  </si>
  <si>
    <t>ROBERTO</t>
  </si>
  <si>
    <t>009754</t>
  </si>
  <si>
    <t>BIAGETTI</t>
  </si>
  <si>
    <t>Andrea</t>
  </si>
  <si>
    <t>010879</t>
  </si>
  <si>
    <t>SASSI</t>
  </si>
  <si>
    <t>Raffaella</t>
  </si>
  <si>
    <t>010886</t>
  </si>
  <si>
    <t>BIZZARRI</t>
  </si>
  <si>
    <t>Daniela</t>
  </si>
  <si>
    <t>010890</t>
  </si>
  <si>
    <t>ROMANO</t>
  </si>
  <si>
    <t>Maria Elisa</t>
  </si>
  <si>
    <t>008989</t>
  </si>
  <si>
    <t>RAGNI</t>
  </si>
  <si>
    <t>Roberta</t>
  </si>
  <si>
    <t>012254</t>
  </si>
  <si>
    <t>PASSERI</t>
  </si>
  <si>
    <t>STEFANIA</t>
  </si>
  <si>
    <t>009413</t>
  </si>
  <si>
    <t>MELONI</t>
  </si>
  <si>
    <t>B</t>
  </si>
  <si>
    <t>012284</t>
  </si>
  <si>
    <t>MOCAN</t>
  </si>
  <si>
    <t>Teodora Codruta</t>
  </si>
  <si>
    <t>013237</t>
  </si>
  <si>
    <t>MICHELINI</t>
  </si>
  <si>
    <t>Francesco</t>
  </si>
  <si>
    <t>D</t>
  </si>
  <si>
    <t>013316</t>
  </si>
  <si>
    <t>LAROTONDA</t>
  </si>
  <si>
    <t>DOMENICO</t>
  </si>
  <si>
    <t>012063</t>
  </si>
  <si>
    <t>DE ROSA</t>
  </si>
  <si>
    <t>PAOLA</t>
  </si>
  <si>
    <t>012848</t>
  </si>
  <si>
    <t>ALBANESE</t>
  </si>
  <si>
    <t>012850</t>
  </si>
  <si>
    <t>MILLETTI</t>
  </si>
  <si>
    <t>ILARIA</t>
  </si>
  <si>
    <t>012851</t>
  </si>
  <si>
    <t>ARBA</t>
  </si>
  <si>
    <t>VALENTINA</t>
  </si>
  <si>
    <t>012849</t>
  </si>
  <si>
    <t>BEI</t>
  </si>
  <si>
    <t>ALESSANDRO</t>
  </si>
  <si>
    <t>012852</t>
  </si>
  <si>
    <t>FABRIS</t>
  </si>
  <si>
    <t>TATJANA</t>
  </si>
  <si>
    <t>009467</t>
  </si>
  <si>
    <t>FELICINI</t>
  </si>
  <si>
    <t>RICCARDO</t>
  </si>
  <si>
    <t>012913</t>
  </si>
  <si>
    <t>SILVI</t>
  </si>
  <si>
    <t>Sabrina</t>
  </si>
  <si>
    <t>011811</t>
  </si>
  <si>
    <t>MASSI BENEDETTI</t>
  </si>
  <si>
    <t>CRISTINA</t>
  </si>
  <si>
    <t>007537</t>
  </si>
  <si>
    <t>SPACCATINI</t>
  </si>
  <si>
    <t>CRISTIANO</t>
  </si>
  <si>
    <t>FABRIZIO</t>
  </si>
  <si>
    <t>009586</t>
  </si>
  <si>
    <t>MARIANI</t>
  </si>
  <si>
    <t>Tatiana</t>
  </si>
  <si>
    <t>012310</t>
  </si>
  <si>
    <t>BOMBARDIERI</t>
  </si>
  <si>
    <t>EMANUELE</t>
  </si>
  <si>
    <t>008207</t>
  </si>
  <si>
    <t>IANNONI</t>
  </si>
  <si>
    <t>ANTONIO</t>
  </si>
  <si>
    <t>013177</t>
  </si>
  <si>
    <t>MARTELLI</t>
  </si>
  <si>
    <t>013178</t>
  </si>
  <si>
    <t>FAGUGLI</t>
  </si>
  <si>
    <t>007097</t>
  </si>
  <si>
    <t>FALBO</t>
  </si>
  <si>
    <t>Stefania</t>
  </si>
  <si>
    <t>011079</t>
  </si>
  <si>
    <t>MORETTI</t>
  </si>
  <si>
    <t>009209</t>
  </si>
  <si>
    <t>OLSEN</t>
  </si>
  <si>
    <t>Gina</t>
  </si>
  <si>
    <t>005129</t>
  </si>
  <si>
    <t>ANGELLOTTI</t>
  </si>
  <si>
    <t>Giuseppina</t>
  </si>
  <si>
    <t>008930</t>
  </si>
  <si>
    <t>GUARDABASSI</t>
  </si>
  <si>
    <t>Laura</t>
  </si>
  <si>
    <t>012303</t>
  </si>
  <si>
    <t>AMATO</t>
  </si>
  <si>
    <t>SANDRO</t>
  </si>
  <si>
    <t>012302</t>
  </si>
  <si>
    <t>ALESSANDRINI</t>
  </si>
  <si>
    <t>ANTONELLA</t>
  </si>
  <si>
    <t>008853</t>
  </si>
  <si>
    <t>SEBASTIANI</t>
  </si>
  <si>
    <t>004896</t>
  </si>
  <si>
    <t>CECCHETTI</t>
  </si>
  <si>
    <t>009580</t>
  </si>
  <si>
    <t>VESCARELLI</t>
  </si>
  <si>
    <t>Elisabetta</t>
  </si>
  <si>
    <t>008393</t>
  </si>
  <si>
    <t>PRINCIPI</t>
  </si>
  <si>
    <t>Massimiliano</t>
  </si>
  <si>
    <t>007190</t>
  </si>
  <si>
    <t>BOCCIOLI</t>
  </si>
  <si>
    <t>Elena</t>
  </si>
  <si>
    <t>011896</t>
  </si>
  <si>
    <t>DATTINI</t>
  </si>
  <si>
    <t>Valentina</t>
  </si>
  <si>
    <t>011903</t>
  </si>
  <si>
    <t>SCARCHINI</t>
  </si>
  <si>
    <t>ALESSIA</t>
  </si>
  <si>
    <t>011904</t>
  </si>
  <si>
    <t>MAFFIA</t>
  </si>
  <si>
    <t>LEONARDA ROSARIA</t>
  </si>
  <si>
    <t>011076</t>
  </si>
  <si>
    <t>VOLENTIERA</t>
  </si>
  <si>
    <t>005321</t>
  </si>
  <si>
    <t>MONSURRO'</t>
  </si>
  <si>
    <t>Mariarosaria</t>
  </si>
  <si>
    <t>009760</t>
  </si>
  <si>
    <t>CRUCIANI</t>
  </si>
  <si>
    <t>Diego</t>
  </si>
  <si>
    <t>FRANCESCO</t>
  </si>
  <si>
    <t>010162</t>
  </si>
  <si>
    <t>MONTANI</t>
  </si>
  <si>
    <t>Catia</t>
  </si>
  <si>
    <t>009809</t>
  </si>
  <si>
    <t>TIRIMAGNI</t>
  </si>
  <si>
    <t>012391</t>
  </si>
  <si>
    <t>Ilaria</t>
  </si>
  <si>
    <t>012073</t>
  </si>
  <si>
    <t>RAGANO CARACCIOLO</t>
  </si>
  <si>
    <t>Maria</t>
  </si>
  <si>
    <t>012075</t>
  </si>
  <si>
    <t>TISSI</t>
  </si>
  <si>
    <t>011834</t>
  </si>
  <si>
    <t>BASTIANINI</t>
  </si>
  <si>
    <t>CLAUDIA</t>
  </si>
  <si>
    <t>011379</t>
  </si>
  <si>
    <t>GRILLI</t>
  </si>
  <si>
    <t>003517</t>
  </si>
  <si>
    <t>CASTELLANI</t>
  </si>
  <si>
    <t>Lorella</t>
  </si>
  <si>
    <t>009443</t>
  </si>
  <si>
    <t>PASQUA</t>
  </si>
  <si>
    <t>Stefano</t>
  </si>
  <si>
    <t>008992</t>
  </si>
  <si>
    <t>MARTORANA</t>
  </si>
  <si>
    <t>010049</t>
  </si>
  <si>
    <t>CASTELLINI</t>
  </si>
  <si>
    <t>007944</t>
  </si>
  <si>
    <t>ROSSINI</t>
  </si>
  <si>
    <t>009129</t>
  </si>
  <si>
    <t>BAGAGLIA</t>
  </si>
  <si>
    <t>Marco</t>
  </si>
  <si>
    <t>011881</t>
  </si>
  <si>
    <t>AGLIETTI</t>
  </si>
  <si>
    <t>PATRIZIA</t>
  </si>
  <si>
    <t>013193</t>
  </si>
  <si>
    <t>PALAZZO</t>
  </si>
  <si>
    <t>GIUSEPPE</t>
  </si>
  <si>
    <t>013194</t>
  </si>
  <si>
    <t>GIULIETTI</t>
  </si>
  <si>
    <t>013212</t>
  </si>
  <si>
    <t>DANIELE</t>
  </si>
  <si>
    <t>006518</t>
  </si>
  <si>
    <t>BEATINI</t>
  </si>
  <si>
    <t>Paola</t>
  </si>
  <si>
    <t>013338</t>
  </si>
  <si>
    <t>BOCCI</t>
  </si>
  <si>
    <t>013339</t>
  </si>
  <si>
    <t>PERSAMPIERI</t>
  </si>
  <si>
    <t>TANIA</t>
  </si>
  <si>
    <t>013337</t>
  </si>
  <si>
    <t>VALERIO</t>
  </si>
  <si>
    <t>LAURA</t>
  </si>
  <si>
    <t>009853</t>
  </si>
  <si>
    <t>ALESSANDRI</t>
  </si>
  <si>
    <t>013352</t>
  </si>
  <si>
    <t>TALLARITA</t>
  </si>
  <si>
    <t>MARIO</t>
  </si>
  <si>
    <t>013364</t>
  </si>
  <si>
    <t>VENTO</t>
  </si>
  <si>
    <t>SIMONA</t>
  </si>
  <si>
    <t>PERC. P.T.</t>
  </si>
  <si>
    <t>CEL</t>
  </si>
  <si>
    <t>C1</t>
  </si>
  <si>
    <t>EP1</t>
  </si>
  <si>
    <t>B3</t>
  </si>
  <si>
    <t>D1</t>
  </si>
  <si>
    <t>P.E.</t>
  </si>
  <si>
    <t>50% (dal 25/10/2012 al 30/09/2013
100% dal 01/10/2013 al 24/10/2013)</t>
  </si>
  <si>
    <t>50% (dal 26/04/2010 al 31/12/2012
85% dal 01/01/2013 al 25/04/2013)</t>
  </si>
  <si>
    <t>CAT.</t>
  </si>
  <si>
    <t>ALBUQUERQUE DE MOURA TAVARES</t>
  </si>
  <si>
    <t>MATR.</t>
  </si>
  <si>
    <t>Note</t>
  </si>
  <si>
    <t>Lordo dipendente</t>
  </si>
  <si>
    <t>Oneri C.E.</t>
  </si>
  <si>
    <t>Costo complessivo</t>
  </si>
  <si>
    <t>COSTI STIPENDIALI
TRIMESTRE APRILE-GIUGNO 2013</t>
  </si>
  <si>
    <t>sottratte trattenute per ore non lavorate di febbraio 2013</t>
  </si>
  <si>
    <t>sottratte trattenute per ore non lavorate di marzo 2013</t>
  </si>
  <si>
    <t>BERRETTINI</t>
  </si>
  <si>
    <t>012390</t>
  </si>
  <si>
    <t>ad aprile corrisposte I. A. e XIII^</t>
  </si>
  <si>
    <t>sottratte trattenute per ore non lavorate di gennaio-marzo 2013</t>
  </si>
  <si>
    <t>importo comprensivo dell'assegno per il nucleo familiare</t>
  </si>
  <si>
    <t>005044</t>
  </si>
  <si>
    <t>SABRINA</t>
  </si>
  <si>
    <t>ad aprile corrisposte I. A. e XIII^ e sottratto sciopero di marzo</t>
  </si>
  <si>
    <t xml:space="preserve">ad aprile corrisposto anche il conguaglio della retribuzione e sottratte trattenute per ore non lavorate di marzo 2013 </t>
  </si>
  <si>
    <t xml:space="preserve">ad aprile corrisposto anche il conguaglio della retribuzione di marzo 2013 </t>
  </si>
  <si>
    <t>importo comprensivo dell'Indennità di posizione EP minima CCNL</t>
  </si>
  <si>
    <t>corrisposta rettifica retribuzione di marzo dal 30% al 100%</t>
  </si>
  <si>
    <t>sottratte trattenute per ore non lavorate di gennaio-febbraio 2013</t>
  </si>
  <si>
    <t>ad aprile corrisposta anche I. A. del precedente contratto</t>
  </si>
  <si>
    <t>RONDINI</t>
  </si>
  <si>
    <t>Roberto</t>
  </si>
  <si>
    <t>005422</t>
  </si>
  <si>
    <t>ad aprile corrisposta I. A. del precedente contratto</t>
  </si>
  <si>
    <t>ad aprile corrisposto anche TFR precedente contratto</t>
  </si>
  <si>
    <t>sottratte trattenute per ore non lavorate di gennaio-aprile 2013</t>
  </si>
  <si>
    <t>TOTALE CAT. B</t>
  </si>
  <si>
    <t>TOTALE CAT. C</t>
  </si>
  <si>
    <t>TOTALE CAT. CEL</t>
  </si>
  <si>
    <t>TOTALE CAT. D</t>
  </si>
  <si>
    <t>TOTALE CAT. EP</t>
  </si>
  <si>
    <t>CAT. B</t>
  </si>
  <si>
    <t>CAT. C</t>
  </si>
  <si>
    <t>CAT. D</t>
  </si>
  <si>
    <t>CAT. EP</t>
  </si>
  <si>
    <t>TOTALI</t>
  </si>
  <si>
    <t>Personale tecnico-amm.vo e CEL
Costo complessivo trimestre aprile - giugno 2013 (art. 17, c. 2, D. Lgs n. 33/2013)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</si>
</sst>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wrapText="1"/>
    </xf>
    <xf numFmtId="1" fontId="0" fillId="0" borderId="10" xfId="0" applyNumberFormat="1" applyFill="1" applyBorder="1" applyAlignment="1">
      <alignment wrapText="1"/>
    </xf>
    <xf numFmtId="14" fontId="0" fillId="0" borderId="10" xfId="0" applyNumberFormat="1" applyFill="1" applyBorder="1" applyAlignment="1">
      <alignment horizontal="center" wrapText="1"/>
    </xf>
    <xf numFmtId="10" fontId="0" fillId="0" borderId="10" xfId="0" applyNumberFormat="1" applyFill="1" applyBorder="1" applyAlignment="1">
      <alignment horizontal="center" wrapText="1"/>
    </xf>
    <xf numFmtId="40" fontId="0" fillId="0" borderId="10" xfId="0" applyNumberForma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1" fontId="0" fillId="0" borderId="10" xfId="0" applyNumberFormat="1" applyFont="1" applyFill="1" applyBorder="1" applyAlignment="1">
      <alignment wrapText="1"/>
    </xf>
    <xf numFmtId="1" fontId="2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wrapTex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 horizontal="center" wrapText="1"/>
    </xf>
    <xf numFmtId="49" fontId="0" fillId="24" borderId="10" xfId="0" applyNumberFormat="1" applyFont="1" applyFill="1" applyBorder="1" applyAlignment="1">
      <alignment horizontal="center" wrapText="1"/>
    </xf>
    <xf numFmtId="1" fontId="0" fillId="24" borderId="10" xfId="0" applyNumberFormat="1" applyFill="1" applyBorder="1" applyAlignment="1">
      <alignment wrapText="1"/>
    </xf>
    <xf numFmtId="1" fontId="0" fillId="24" borderId="10" xfId="0" applyNumberFormat="1" applyFill="1" applyBorder="1" applyAlignment="1">
      <alignment horizontal="center" wrapText="1"/>
    </xf>
    <xf numFmtId="14" fontId="0" fillId="24" borderId="10" xfId="0" applyNumberFormat="1" applyFill="1" applyBorder="1" applyAlignment="1">
      <alignment horizontal="center" wrapText="1"/>
    </xf>
    <xf numFmtId="10" fontId="0" fillId="24" borderId="10" xfId="0" applyNumberFormat="1" applyFill="1" applyBorder="1" applyAlignment="1">
      <alignment horizontal="center" wrapText="1"/>
    </xf>
    <xf numFmtId="40" fontId="0" fillId="24" borderId="10" xfId="0" applyNumberFormat="1" applyFill="1" applyBorder="1" applyAlignment="1">
      <alignment horizontal="right" wrapText="1"/>
    </xf>
    <xf numFmtId="0" fontId="1" fillId="24" borderId="10" xfId="0" applyFont="1" applyFill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0" fillId="0" borderId="0" xfId="0" applyNumberFormat="1" applyFill="1" applyAlignment="1">
      <alignment horizontal="center"/>
    </xf>
    <xf numFmtId="1" fontId="0" fillId="24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" fontId="0" fillId="24" borderId="10" xfId="0" applyNumberFormat="1" applyFont="1" applyFill="1" applyBorder="1" applyAlignment="1">
      <alignment horizontal="center" wrapText="1"/>
    </xf>
    <xf numFmtId="40" fontId="0" fillId="0" borderId="10" xfId="0" applyNumberFormat="1" applyFont="1" applyFill="1" applyBorder="1" applyAlignment="1">
      <alignment horizontal="right" wrapText="1"/>
    </xf>
    <xf numFmtId="49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40" fontId="0" fillId="0" borderId="10" xfId="0" applyNumberForma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0" fontId="2" fillId="16" borderId="10" xfId="0" applyNumberFormat="1" applyFont="1" applyFill="1" applyBorder="1" applyAlignment="1">
      <alignment horizontal="center" vertical="center" wrapText="1"/>
    </xf>
    <xf numFmtId="40" fontId="22" fillId="0" borderId="10" xfId="0" applyNumberFormat="1" applyFont="1" applyBorder="1" applyAlignment="1">
      <alignment horizontal="right" vertical="center" wrapText="1"/>
    </xf>
    <xf numFmtId="40" fontId="22" fillId="16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/>
    </xf>
    <xf numFmtId="1" fontId="22" fillId="16" borderId="11" xfId="0" applyNumberFormat="1" applyFont="1" applyFill="1" applyBorder="1" applyAlignment="1">
      <alignment horizontal="center" vertical="center"/>
    </xf>
    <xf numFmtId="1" fontId="22" fillId="16" borderId="12" xfId="0" applyNumberFormat="1" applyFont="1" applyFill="1" applyBorder="1" applyAlignment="1">
      <alignment horizontal="center" vertical="center"/>
    </xf>
    <xf numFmtId="1" fontId="2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1" fillId="16" borderId="0" xfId="0" applyNumberFormat="1" applyFont="1" applyFill="1" applyAlignment="1">
      <alignment horizontal="center" vertical="center" wrapText="1"/>
    </xf>
    <xf numFmtId="1" fontId="21" fillId="16" borderId="0" xfId="0" applyNumberFormat="1" applyFont="1" applyFill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" fontId="22" fillId="0" borderId="13" xfId="0" applyNumberFormat="1" applyFont="1" applyFill="1" applyBorder="1" applyAlignment="1">
      <alignment horizontal="center" vertical="center" wrapText="1"/>
    </xf>
    <xf numFmtId="1" fontId="22" fillId="0" borderId="12" xfId="0" applyNumberFormat="1" applyFont="1" applyFill="1" applyBorder="1" applyAlignment="1">
      <alignment horizontal="center" vertical="center" wrapText="1"/>
    </xf>
    <xf numFmtId="40" fontId="22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wrapText="1"/>
    </xf>
    <xf numFmtId="0" fontId="22" fillId="0" borderId="0" xfId="0" applyFont="1" applyFill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23"/>
  <sheetViews>
    <sheetView zoomScalePageLayoutView="0" workbookViewId="0" topLeftCell="A100">
      <selection activeCell="A1" sqref="A1:A2"/>
    </sheetView>
  </sheetViews>
  <sheetFormatPr defaultColWidth="9.140625" defaultRowHeight="12.75"/>
  <cols>
    <col min="1" max="1" width="7.7109375" style="28" customWidth="1"/>
    <col min="2" max="2" width="18.421875" style="15" customWidth="1"/>
    <col min="3" max="3" width="20.28125" style="15" bestFit="1" customWidth="1"/>
    <col min="4" max="4" width="5.28125" style="14" bestFit="1" customWidth="1"/>
    <col min="5" max="5" width="4.57421875" style="14" customWidth="1"/>
    <col min="6" max="7" width="11.140625" style="16" customWidth="1"/>
    <col min="8" max="8" width="10.7109375" style="17" bestFit="1" customWidth="1"/>
    <col min="9" max="11" width="15.00390625" style="18" customWidth="1"/>
    <col min="12" max="12" width="24.57421875" style="18" customWidth="1"/>
    <col min="13" max="16384" width="9.140625" style="18" customWidth="1"/>
  </cols>
  <sheetData>
    <row r="1" spans="1:12" s="1" customFormat="1" ht="30" customHeight="1">
      <c r="A1" s="50" t="s">
        <v>274</v>
      </c>
      <c r="B1" s="49" t="s">
        <v>0</v>
      </c>
      <c r="C1" s="49" t="s">
        <v>1</v>
      </c>
      <c r="D1" s="49" t="s">
        <v>272</v>
      </c>
      <c r="E1" s="49" t="s">
        <v>269</v>
      </c>
      <c r="F1" s="48" t="s">
        <v>2</v>
      </c>
      <c r="G1" s="48" t="s">
        <v>3</v>
      </c>
      <c r="H1" s="51" t="s">
        <v>263</v>
      </c>
      <c r="I1" s="48" t="s">
        <v>279</v>
      </c>
      <c r="J1" s="48"/>
      <c r="K1" s="48"/>
      <c r="L1" s="48" t="s">
        <v>275</v>
      </c>
    </row>
    <row r="2" spans="1:12" s="1" customFormat="1" ht="38.25" customHeight="1">
      <c r="A2" s="50"/>
      <c r="B2" s="49"/>
      <c r="C2" s="49"/>
      <c r="D2" s="49"/>
      <c r="E2" s="49"/>
      <c r="F2" s="48"/>
      <c r="G2" s="48"/>
      <c r="H2" s="51"/>
      <c r="I2" s="2" t="s">
        <v>276</v>
      </c>
      <c r="J2" s="2" t="s">
        <v>277</v>
      </c>
      <c r="K2" s="2" t="s">
        <v>278</v>
      </c>
      <c r="L2" s="48"/>
    </row>
    <row r="3" spans="1:12" s="9" customFormat="1" ht="24.75" customHeight="1">
      <c r="A3" s="19" t="s">
        <v>255</v>
      </c>
      <c r="B3" s="4" t="s">
        <v>256</v>
      </c>
      <c r="C3" s="4" t="s">
        <v>161</v>
      </c>
      <c r="D3" s="3" t="s">
        <v>97</v>
      </c>
      <c r="E3" s="3" t="s">
        <v>267</v>
      </c>
      <c r="F3" s="5">
        <v>41372</v>
      </c>
      <c r="G3" s="5">
        <v>41698</v>
      </c>
      <c r="H3" s="6" t="s">
        <v>4</v>
      </c>
      <c r="I3" s="7">
        <v>4197.29</v>
      </c>
      <c r="J3" s="7">
        <v>1408.95</v>
      </c>
      <c r="K3" s="7">
        <f aca="true" t="shared" si="0" ref="K3:K9">I3+J3</f>
        <v>5606.24</v>
      </c>
      <c r="L3" s="8"/>
    </row>
    <row r="4" spans="1:12" s="9" customFormat="1" ht="24.75" customHeight="1">
      <c r="A4" s="19" t="s">
        <v>168</v>
      </c>
      <c r="B4" s="4" t="s">
        <v>169</v>
      </c>
      <c r="C4" s="4" t="s">
        <v>170</v>
      </c>
      <c r="D4" s="3" t="s">
        <v>97</v>
      </c>
      <c r="E4" s="3" t="s">
        <v>267</v>
      </c>
      <c r="F4" s="5">
        <v>41435</v>
      </c>
      <c r="G4" s="5">
        <v>41799</v>
      </c>
      <c r="H4" s="6">
        <v>0.7</v>
      </c>
      <c r="I4" s="7">
        <v>743.37</v>
      </c>
      <c r="J4" s="7">
        <f>-14.87+312.13</f>
        <v>297.26</v>
      </c>
      <c r="K4" s="7">
        <f t="shared" si="0"/>
        <v>1040.63</v>
      </c>
      <c r="L4" s="8"/>
    </row>
    <row r="5" spans="1:12" s="9" customFormat="1" ht="24.75" customHeight="1">
      <c r="A5" s="19" t="s">
        <v>141</v>
      </c>
      <c r="B5" s="4" t="s">
        <v>142</v>
      </c>
      <c r="C5" s="4" t="s">
        <v>143</v>
      </c>
      <c r="D5" s="3" t="s">
        <v>97</v>
      </c>
      <c r="E5" s="3" t="s">
        <v>267</v>
      </c>
      <c r="F5" s="5">
        <v>40945</v>
      </c>
      <c r="G5" s="5">
        <v>41675</v>
      </c>
      <c r="H5" s="6" t="s">
        <v>4</v>
      </c>
      <c r="I5" s="7">
        <v>4551.27</v>
      </c>
      <c r="J5" s="7">
        <f>-91.02+1911.07</f>
        <v>1820.05</v>
      </c>
      <c r="K5" s="7">
        <f t="shared" si="0"/>
        <v>6371.320000000001</v>
      </c>
      <c r="L5" s="8"/>
    </row>
    <row r="6" spans="1:12" s="9" customFormat="1" ht="24.75" customHeight="1">
      <c r="A6" s="19" t="s">
        <v>95</v>
      </c>
      <c r="B6" s="4" t="s">
        <v>96</v>
      </c>
      <c r="C6" s="4" t="s">
        <v>59</v>
      </c>
      <c r="D6" s="3" t="s">
        <v>97</v>
      </c>
      <c r="E6" s="3" t="s">
        <v>267</v>
      </c>
      <c r="F6" s="5">
        <v>40788</v>
      </c>
      <c r="G6" s="5">
        <v>41883</v>
      </c>
      <c r="H6" s="6" t="s">
        <v>4</v>
      </c>
      <c r="I6" s="7">
        <v>4551.27</v>
      </c>
      <c r="J6" s="7">
        <f>-91.02+1911.06</f>
        <v>1820.04</v>
      </c>
      <c r="K6" s="7">
        <f t="shared" si="0"/>
        <v>6371.31</v>
      </c>
      <c r="L6" s="8"/>
    </row>
    <row r="7" spans="1:12" s="9" customFormat="1" ht="24.75" customHeight="1">
      <c r="A7" s="19" t="s">
        <v>195</v>
      </c>
      <c r="B7" s="4" t="s">
        <v>196</v>
      </c>
      <c r="C7" s="4" t="s">
        <v>197</v>
      </c>
      <c r="D7" s="3" t="s">
        <v>97</v>
      </c>
      <c r="E7" s="3" t="s">
        <v>267</v>
      </c>
      <c r="F7" s="5">
        <v>41213</v>
      </c>
      <c r="G7" s="5">
        <v>41759</v>
      </c>
      <c r="H7" s="6">
        <v>0.5555</v>
      </c>
      <c r="I7" s="7">
        <v>2528.22</v>
      </c>
      <c r="J7" s="7">
        <f>-50.55+1061.58</f>
        <v>1011.03</v>
      </c>
      <c r="K7" s="7">
        <f t="shared" si="0"/>
        <v>3539.25</v>
      </c>
      <c r="L7" s="8"/>
    </row>
    <row r="8" spans="1:12" s="9" customFormat="1" ht="24.75" customHeight="1">
      <c r="A8" s="20" t="s">
        <v>298</v>
      </c>
      <c r="B8" s="29" t="s">
        <v>296</v>
      </c>
      <c r="C8" s="29" t="s">
        <v>297</v>
      </c>
      <c r="D8" s="31" t="s">
        <v>97</v>
      </c>
      <c r="E8" s="31" t="s">
        <v>267</v>
      </c>
      <c r="F8" s="23">
        <v>40976</v>
      </c>
      <c r="G8" s="23">
        <v>41340</v>
      </c>
      <c r="H8" s="24" t="s">
        <v>4</v>
      </c>
      <c r="I8" s="25">
        <v>225.02</v>
      </c>
      <c r="J8" s="25">
        <f>-4.5+92.72</f>
        <v>88.22</v>
      </c>
      <c r="K8" s="25">
        <f t="shared" si="0"/>
        <v>313.24</v>
      </c>
      <c r="L8" s="26" t="s">
        <v>299</v>
      </c>
    </row>
    <row r="9" spans="1:12" s="9" customFormat="1" ht="24.75" customHeight="1">
      <c r="A9" s="19" t="s">
        <v>212</v>
      </c>
      <c r="B9" s="4" t="s">
        <v>213</v>
      </c>
      <c r="C9" s="4" t="s">
        <v>201</v>
      </c>
      <c r="D9" s="3" t="s">
        <v>97</v>
      </c>
      <c r="E9" s="3" t="s">
        <v>267</v>
      </c>
      <c r="F9" s="5">
        <v>41127</v>
      </c>
      <c r="G9" s="5">
        <v>41675</v>
      </c>
      <c r="H9" s="6" t="s">
        <v>4</v>
      </c>
      <c r="I9" s="7">
        <v>4551.27</v>
      </c>
      <c r="J9" s="7">
        <f>-91.02+1911.07</f>
        <v>1820.05</v>
      </c>
      <c r="K9" s="7">
        <f t="shared" si="0"/>
        <v>6371.320000000001</v>
      </c>
      <c r="L9" s="8"/>
    </row>
    <row r="10" spans="1:12" s="67" customFormat="1" ht="24.75" customHeight="1">
      <c r="A10" s="61"/>
      <c r="B10" s="62" t="s">
        <v>302</v>
      </c>
      <c r="C10" s="63"/>
      <c r="D10" s="63"/>
      <c r="E10" s="63"/>
      <c r="F10" s="63"/>
      <c r="G10" s="63"/>
      <c r="H10" s="64"/>
      <c r="I10" s="65">
        <f>SUM(I3:I9)</f>
        <v>21347.710000000003</v>
      </c>
      <c r="J10" s="65">
        <f>SUM(J3:J9)</f>
        <v>8265.6</v>
      </c>
      <c r="K10" s="65">
        <f>SUM(K3:K9)</f>
        <v>29613.31</v>
      </c>
      <c r="L10" s="66"/>
    </row>
    <row r="11" spans="1:12" s="9" customFormat="1" ht="24.75" customHeight="1">
      <c r="A11" s="19" t="s">
        <v>234</v>
      </c>
      <c r="B11" s="4" t="s">
        <v>235</v>
      </c>
      <c r="C11" s="4" t="s">
        <v>236</v>
      </c>
      <c r="D11" s="3" t="s">
        <v>23</v>
      </c>
      <c r="E11" s="3" t="s">
        <v>265</v>
      </c>
      <c r="F11" s="5">
        <v>40360</v>
      </c>
      <c r="G11" s="5">
        <v>41455</v>
      </c>
      <c r="H11" s="6" t="s">
        <v>4</v>
      </c>
      <c r="I11" s="7">
        <v>4688.64</v>
      </c>
      <c r="J11" s="7">
        <f>-93.78+2034.48</f>
        <v>1940.7</v>
      </c>
      <c r="K11" s="7">
        <f aca="true" t="shared" si="1" ref="K11:K42">I11+J11</f>
        <v>6629.34</v>
      </c>
      <c r="L11" s="8"/>
    </row>
    <row r="12" spans="1:12" s="9" customFormat="1" ht="24.75" customHeight="1">
      <c r="A12" s="19" t="s">
        <v>111</v>
      </c>
      <c r="B12" s="4" t="s">
        <v>112</v>
      </c>
      <c r="C12" s="4" t="s">
        <v>7</v>
      </c>
      <c r="D12" s="3" t="s">
        <v>23</v>
      </c>
      <c r="E12" s="3" t="s">
        <v>265</v>
      </c>
      <c r="F12" s="5">
        <v>41137</v>
      </c>
      <c r="G12" s="5">
        <v>42231</v>
      </c>
      <c r="H12" s="6" t="s">
        <v>4</v>
      </c>
      <c r="I12" s="7">
        <f>4688.64-10.02</f>
        <v>4678.62</v>
      </c>
      <c r="J12" s="7">
        <f>-93.78+0.2+1964.56</f>
        <v>1870.98</v>
      </c>
      <c r="K12" s="7">
        <f t="shared" si="1"/>
        <v>6549.6</v>
      </c>
      <c r="L12" s="8" t="s">
        <v>280</v>
      </c>
    </row>
    <row r="13" spans="1:12" s="9" customFormat="1" ht="12.75">
      <c r="A13" s="19" t="s">
        <v>165</v>
      </c>
      <c r="B13" s="4" t="s">
        <v>166</v>
      </c>
      <c r="C13" s="4" t="s">
        <v>167</v>
      </c>
      <c r="D13" s="3" t="s">
        <v>23</v>
      </c>
      <c r="E13" s="3" t="s">
        <v>265</v>
      </c>
      <c r="F13" s="5">
        <v>41304</v>
      </c>
      <c r="G13" s="5">
        <v>42398</v>
      </c>
      <c r="H13" s="6" t="s">
        <v>4</v>
      </c>
      <c r="I13" s="7">
        <v>4688.64</v>
      </c>
      <c r="J13" s="7">
        <f>-93.78+1968.77</f>
        <v>1874.99</v>
      </c>
      <c r="K13" s="7">
        <f t="shared" si="1"/>
        <v>6563.63</v>
      </c>
      <c r="L13" s="8"/>
    </row>
    <row r="14" spans="1:12" s="9" customFormat="1" ht="24.75" customHeight="1">
      <c r="A14" s="19" t="s">
        <v>159</v>
      </c>
      <c r="B14" s="4" t="s">
        <v>160</v>
      </c>
      <c r="C14" s="4" t="s">
        <v>161</v>
      </c>
      <c r="D14" s="3" t="s">
        <v>23</v>
      </c>
      <c r="E14" s="3" t="s">
        <v>265</v>
      </c>
      <c r="F14" s="5">
        <v>40700</v>
      </c>
      <c r="G14" s="5">
        <v>41430</v>
      </c>
      <c r="H14" s="6" t="s">
        <v>4</v>
      </c>
      <c r="I14" s="7">
        <f>3386.24-20.04</f>
        <v>3366.2</v>
      </c>
      <c r="J14" s="7">
        <f>-67.73+0.4+1125.64</f>
        <v>1058.3100000000002</v>
      </c>
      <c r="K14" s="7">
        <f t="shared" si="1"/>
        <v>4424.51</v>
      </c>
      <c r="L14" s="8" t="s">
        <v>281</v>
      </c>
    </row>
    <row r="15" spans="1:12" s="9" customFormat="1" ht="24.75" customHeight="1">
      <c r="A15" s="19" t="s">
        <v>116</v>
      </c>
      <c r="B15" s="4" t="s">
        <v>117</v>
      </c>
      <c r="C15" s="4" t="s">
        <v>118</v>
      </c>
      <c r="D15" s="3" t="s">
        <v>23</v>
      </c>
      <c r="E15" s="3" t="s">
        <v>265</v>
      </c>
      <c r="F15" s="5">
        <v>41137</v>
      </c>
      <c r="G15" s="5">
        <v>42231</v>
      </c>
      <c r="H15" s="6" t="s">
        <v>4</v>
      </c>
      <c r="I15" s="7">
        <v>4688.64</v>
      </c>
      <c r="J15" s="7">
        <f>-93.78+1968.77</f>
        <v>1874.99</v>
      </c>
      <c r="K15" s="7">
        <f t="shared" si="1"/>
        <v>6563.63</v>
      </c>
      <c r="L15" s="8"/>
    </row>
    <row r="16" spans="1:12" s="9" customFormat="1" ht="24.75" customHeight="1">
      <c r="A16" s="19" t="s">
        <v>231</v>
      </c>
      <c r="B16" s="4" t="s">
        <v>232</v>
      </c>
      <c r="C16" s="4" t="s">
        <v>233</v>
      </c>
      <c r="D16" s="3" t="s">
        <v>23</v>
      </c>
      <c r="E16" s="3" t="s">
        <v>265</v>
      </c>
      <c r="F16" s="5">
        <v>41435</v>
      </c>
      <c r="G16" s="5">
        <v>41799</v>
      </c>
      <c r="H16" s="6">
        <v>0.7</v>
      </c>
      <c r="I16" s="7">
        <v>765.81</v>
      </c>
      <c r="J16" s="7">
        <f>-15.32+321.56</f>
        <v>306.24</v>
      </c>
      <c r="K16" s="7">
        <f t="shared" si="1"/>
        <v>1072.05</v>
      </c>
      <c r="L16" s="8"/>
    </row>
    <row r="17" spans="1:12" s="40" customFormat="1" ht="67.5">
      <c r="A17" s="33" t="s">
        <v>34</v>
      </c>
      <c r="B17" s="34" t="s">
        <v>35</v>
      </c>
      <c r="C17" s="34" t="s">
        <v>36</v>
      </c>
      <c r="D17" s="35" t="s">
        <v>23</v>
      </c>
      <c r="E17" s="35" t="s">
        <v>265</v>
      </c>
      <c r="F17" s="36">
        <v>40294</v>
      </c>
      <c r="G17" s="36">
        <v>41389</v>
      </c>
      <c r="H17" s="37" t="s">
        <v>271</v>
      </c>
      <c r="I17" s="38">
        <v>1984.5</v>
      </c>
      <c r="J17" s="38">
        <f>-22.14-17.56+854.15</f>
        <v>814.4499999999999</v>
      </c>
      <c r="K17" s="38">
        <f t="shared" si="1"/>
        <v>2798.95</v>
      </c>
      <c r="L17" s="39"/>
    </row>
    <row r="18" spans="1:12" s="9" customFormat="1" ht="24.75" customHeight="1">
      <c r="A18" s="19" t="s">
        <v>214</v>
      </c>
      <c r="B18" s="4" t="s">
        <v>215</v>
      </c>
      <c r="C18" s="4" t="s">
        <v>216</v>
      </c>
      <c r="D18" s="3" t="s">
        <v>23</v>
      </c>
      <c r="E18" s="3" t="s">
        <v>265</v>
      </c>
      <c r="F18" s="5">
        <v>40749</v>
      </c>
      <c r="G18" s="5">
        <v>41844</v>
      </c>
      <c r="H18" s="6" t="s">
        <v>4</v>
      </c>
      <c r="I18" s="7">
        <v>4688.64</v>
      </c>
      <c r="J18" s="7">
        <f>-93.78+1968.77</f>
        <v>1874.99</v>
      </c>
      <c r="K18" s="7">
        <f t="shared" si="1"/>
        <v>6563.63</v>
      </c>
      <c r="L18" s="8"/>
    </row>
    <row r="19" spans="1:12" s="9" customFormat="1" ht="24.75" customHeight="1">
      <c r="A19" s="19" t="s">
        <v>119</v>
      </c>
      <c r="B19" s="4" t="s">
        <v>120</v>
      </c>
      <c r="C19" s="4" t="s">
        <v>121</v>
      </c>
      <c r="D19" s="3" t="s">
        <v>23</v>
      </c>
      <c r="E19" s="3" t="s">
        <v>265</v>
      </c>
      <c r="F19" s="5">
        <v>41137</v>
      </c>
      <c r="G19" s="5">
        <v>42231</v>
      </c>
      <c r="H19" s="6" t="s">
        <v>4</v>
      </c>
      <c r="I19" s="7">
        <v>4688.64</v>
      </c>
      <c r="J19" s="7">
        <f>-93.78+1968.77</f>
        <v>1874.99</v>
      </c>
      <c r="K19" s="7">
        <f t="shared" si="1"/>
        <v>6563.63</v>
      </c>
      <c r="L19" s="8"/>
    </row>
    <row r="20" spans="1:12" s="40" customFormat="1" ht="67.5">
      <c r="A20" s="33" t="s">
        <v>31</v>
      </c>
      <c r="B20" s="34" t="s">
        <v>32</v>
      </c>
      <c r="C20" s="34" t="s">
        <v>33</v>
      </c>
      <c r="D20" s="35" t="s">
        <v>23</v>
      </c>
      <c r="E20" s="35" t="s">
        <v>265</v>
      </c>
      <c r="F20" s="36">
        <v>40294</v>
      </c>
      <c r="G20" s="36">
        <v>41389</v>
      </c>
      <c r="H20" s="37" t="s">
        <v>271</v>
      </c>
      <c r="I20" s="38">
        <v>1976.73</v>
      </c>
      <c r="J20" s="38">
        <f>-22.14-17.4+859.66</f>
        <v>820.12</v>
      </c>
      <c r="K20" s="38">
        <f t="shared" si="1"/>
        <v>2796.85</v>
      </c>
      <c r="L20" s="39"/>
    </row>
    <row r="21" spans="1:12" s="9" customFormat="1" ht="24.75" customHeight="1">
      <c r="A21" s="20" t="s">
        <v>283</v>
      </c>
      <c r="B21" s="21" t="s">
        <v>282</v>
      </c>
      <c r="C21" s="21" t="s">
        <v>224</v>
      </c>
      <c r="D21" s="22" t="s">
        <v>23</v>
      </c>
      <c r="E21" s="22" t="s">
        <v>265</v>
      </c>
      <c r="F21" s="23">
        <v>40269</v>
      </c>
      <c r="G21" s="23">
        <v>41364</v>
      </c>
      <c r="H21" s="24" t="s">
        <v>4</v>
      </c>
      <c r="I21" s="25">
        <v>778.79</v>
      </c>
      <c r="J21" s="25">
        <f>-15.57+322.9</f>
        <v>307.33</v>
      </c>
      <c r="K21" s="25">
        <f t="shared" si="1"/>
        <v>1086.12</v>
      </c>
      <c r="L21" s="26" t="s">
        <v>284</v>
      </c>
    </row>
    <row r="22" spans="1:12" s="9" customFormat="1" ht="24.75" customHeight="1">
      <c r="A22" s="19" t="s">
        <v>77</v>
      </c>
      <c r="B22" s="4" t="s">
        <v>78</v>
      </c>
      <c r="C22" s="4" t="s">
        <v>79</v>
      </c>
      <c r="D22" s="3" t="s">
        <v>23</v>
      </c>
      <c r="E22" s="3" t="s">
        <v>265</v>
      </c>
      <c r="F22" s="5">
        <v>40961</v>
      </c>
      <c r="G22" s="5">
        <v>42056</v>
      </c>
      <c r="H22" s="6" t="s">
        <v>4</v>
      </c>
      <c r="I22" s="7">
        <v>4688.64</v>
      </c>
      <c r="J22" s="7">
        <f>-93.78-0.01+1968.74</f>
        <v>1874.95</v>
      </c>
      <c r="K22" s="7">
        <f t="shared" si="1"/>
        <v>6563.59</v>
      </c>
      <c r="L22" s="8"/>
    </row>
    <row r="23" spans="1:12" s="9" customFormat="1" ht="24.75" customHeight="1">
      <c r="A23" s="19" t="s">
        <v>48</v>
      </c>
      <c r="B23" s="4" t="s">
        <v>49</v>
      </c>
      <c r="C23" s="4" t="s">
        <v>50</v>
      </c>
      <c r="D23" s="3" t="s">
        <v>23</v>
      </c>
      <c r="E23" s="3" t="s">
        <v>265</v>
      </c>
      <c r="F23" s="5">
        <v>41235</v>
      </c>
      <c r="G23" s="5">
        <v>42329</v>
      </c>
      <c r="H23" s="6" t="s">
        <v>4</v>
      </c>
      <c r="I23" s="7">
        <v>3594.63</v>
      </c>
      <c r="J23" s="7">
        <f>-80.65+8.76+1597.24</f>
        <v>1525.35</v>
      </c>
      <c r="K23" s="7">
        <f t="shared" si="1"/>
        <v>5119.98</v>
      </c>
      <c r="L23" s="8"/>
    </row>
    <row r="24" spans="1:12" s="9" customFormat="1" ht="24.75" customHeight="1">
      <c r="A24" s="19" t="s">
        <v>83</v>
      </c>
      <c r="B24" s="4" t="s">
        <v>84</v>
      </c>
      <c r="C24" s="4" t="s">
        <v>85</v>
      </c>
      <c r="D24" s="3" t="s">
        <v>23</v>
      </c>
      <c r="E24" s="3" t="s">
        <v>265</v>
      </c>
      <c r="F24" s="5">
        <v>41186</v>
      </c>
      <c r="G24" s="5">
        <v>42280</v>
      </c>
      <c r="H24" s="6" t="s">
        <v>4</v>
      </c>
      <c r="I24" s="7">
        <v>4688.64</v>
      </c>
      <c r="J24" s="7">
        <f>-93.78+1968.76</f>
        <v>1874.98</v>
      </c>
      <c r="K24" s="7">
        <f t="shared" si="1"/>
        <v>6563.620000000001</v>
      </c>
      <c r="L24" s="8"/>
    </row>
    <row r="25" spans="1:12" s="9" customFormat="1" ht="24.75" customHeight="1">
      <c r="A25" s="19" t="s">
        <v>247</v>
      </c>
      <c r="B25" s="4" t="s">
        <v>248</v>
      </c>
      <c r="C25" s="4" t="s">
        <v>121</v>
      </c>
      <c r="D25" s="3" t="s">
        <v>23</v>
      </c>
      <c r="E25" s="3" t="s">
        <v>265</v>
      </c>
      <c r="F25" s="5">
        <v>41372</v>
      </c>
      <c r="G25" s="5">
        <v>41698</v>
      </c>
      <c r="H25" s="6">
        <v>0.7</v>
      </c>
      <c r="I25" s="7">
        <v>3026.78</v>
      </c>
      <c r="J25" s="7">
        <v>1016.16</v>
      </c>
      <c r="K25" s="7">
        <f t="shared" si="1"/>
        <v>4042.94</v>
      </c>
      <c r="L25" s="8"/>
    </row>
    <row r="26" spans="1:12" s="9" customFormat="1" ht="24.75" customHeight="1">
      <c r="A26" s="19" t="s">
        <v>181</v>
      </c>
      <c r="B26" s="4" t="s">
        <v>182</v>
      </c>
      <c r="C26" s="4" t="s">
        <v>183</v>
      </c>
      <c r="D26" s="3" t="s">
        <v>23</v>
      </c>
      <c r="E26" s="11" t="s">
        <v>265</v>
      </c>
      <c r="F26" s="5">
        <v>40380</v>
      </c>
      <c r="G26" s="5">
        <v>41475</v>
      </c>
      <c r="H26" s="6" t="s">
        <v>4</v>
      </c>
      <c r="I26" s="7">
        <v>4688.64</v>
      </c>
      <c r="J26" s="7">
        <f>-93.78+1968.78</f>
        <v>1875</v>
      </c>
      <c r="K26" s="7">
        <f t="shared" si="1"/>
        <v>6563.64</v>
      </c>
      <c r="L26" s="8"/>
    </row>
    <row r="27" spans="1:12" s="9" customFormat="1" ht="24.75" customHeight="1">
      <c r="A27" s="19" t="s">
        <v>69</v>
      </c>
      <c r="B27" s="4" t="s">
        <v>70</v>
      </c>
      <c r="C27" s="4" t="s">
        <v>30</v>
      </c>
      <c r="D27" s="3" t="s">
        <v>23</v>
      </c>
      <c r="E27" s="3" t="s">
        <v>265</v>
      </c>
      <c r="F27" s="5">
        <v>41137</v>
      </c>
      <c r="G27" s="5">
        <v>42231</v>
      </c>
      <c r="H27" s="6" t="s">
        <v>4</v>
      </c>
      <c r="I27" s="7">
        <f>4688.64-140.27</f>
        <v>4548.37</v>
      </c>
      <c r="J27" s="7">
        <f>-93.78+2.81+1909.86</f>
        <v>1818.8899999999999</v>
      </c>
      <c r="K27" s="7">
        <f t="shared" si="1"/>
        <v>6367.26</v>
      </c>
      <c r="L27" s="8" t="s">
        <v>285</v>
      </c>
    </row>
    <row r="28" spans="1:12" s="9" customFormat="1" ht="24.75" customHeight="1">
      <c r="A28" s="19" t="s">
        <v>46</v>
      </c>
      <c r="B28" s="4" t="s">
        <v>47</v>
      </c>
      <c r="C28" s="4" t="s">
        <v>45</v>
      </c>
      <c r="D28" s="3" t="s">
        <v>23</v>
      </c>
      <c r="E28" s="3" t="s">
        <v>265</v>
      </c>
      <c r="F28" s="5">
        <v>40422</v>
      </c>
      <c r="G28" s="5">
        <v>41517</v>
      </c>
      <c r="H28" s="6" t="s">
        <v>4</v>
      </c>
      <c r="I28" s="7">
        <v>4975.59</v>
      </c>
      <c r="J28" s="7">
        <f>-93.78+1968.76</f>
        <v>1874.98</v>
      </c>
      <c r="K28" s="7">
        <f t="shared" si="1"/>
        <v>6850.57</v>
      </c>
      <c r="L28" s="27" t="s">
        <v>286</v>
      </c>
    </row>
    <row r="29" spans="1:12" s="9" customFormat="1" ht="24.75" customHeight="1">
      <c r="A29" s="20" t="s">
        <v>287</v>
      </c>
      <c r="B29" s="21" t="s">
        <v>47</v>
      </c>
      <c r="C29" s="29" t="s">
        <v>288</v>
      </c>
      <c r="D29" s="22" t="s">
        <v>23</v>
      </c>
      <c r="E29" s="22" t="s">
        <v>265</v>
      </c>
      <c r="F29" s="23">
        <v>40992</v>
      </c>
      <c r="G29" s="23">
        <v>41356</v>
      </c>
      <c r="H29" s="24" t="s">
        <v>4</v>
      </c>
      <c r="I29" s="25">
        <f>658.03-4.73</f>
        <v>653.3</v>
      </c>
      <c r="J29" s="25">
        <f>-13.07+270.67</f>
        <v>257.6</v>
      </c>
      <c r="K29" s="25">
        <f t="shared" si="1"/>
        <v>910.9</v>
      </c>
      <c r="L29" s="26" t="s">
        <v>289</v>
      </c>
    </row>
    <row r="30" spans="1:12" s="9" customFormat="1" ht="24.75" customHeight="1">
      <c r="A30" s="19" t="s">
        <v>219</v>
      </c>
      <c r="B30" s="4" t="s">
        <v>220</v>
      </c>
      <c r="C30" s="4" t="s">
        <v>221</v>
      </c>
      <c r="D30" s="3" t="s">
        <v>23</v>
      </c>
      <c r="E30" s="3" t="s">
        <v>265</v>
      </c>
      <c r="F30" s="5">
        <v>40462</v>
      </c>
      <c r="G30" s="5">
        <v>41557</v>
      </c>
      <c r="H30" s="6" t="s">
        <v>4</v>
      </c>
      <c r="I30" s="7">
        <v>4688.64</v>
      </c>
      <c r="J30" s="7">
        <f>-93.78+1968.74</f>
        <v>1874.96</v>
      </c>
      <c r="K30" s="7">
        <f t="shared" si="1"/>
        <v>6563.6</v>
      </c>
      <c r="L30" s="8"/>
    </row>
    <row r="31" spans="1:12" s="9" customFormat="1" ht="24.75" customHeight="1">
      <c r="A31" s="19" t="s">
        <v>227</v>
      </c>
      <c r="B31" s="4" t="s">
        <v>228</v>
      </c>
      <c r="C31" s="4" t="s">
        <v>208</v>
      </c>
      <c r="D31" s="3" t="s">
        <v>23</v>
      </c>
      <c r="E31" s="3" t="s">
        <v>265</v>
      </c>
      <c r="F31" s="5">
        <v>40357</v>
      </c>
      <c r="G31" s="5">
        <v>41452</v>
      </c>
      <c r="H31" s="6" t="s">
        <v>4</v>
      </c>
      <c r="I31" s="7">
        <v>4532.36</v>
      </c>
      <c r="J31" s="7">
        <f>-90.65+1964.75</f>
        <v>1874.1</v>
      </c>
      <c r="K31" s="7">
        <f t="shared" si="1"/>
        <v>6406.459999999999</v>
      </c>
      <c r="L31" s="8"/>
    </row>
    <row r="32" spans="1:12" s="9" customFormat="1" ht="24.75" customHeight="1">
      <c r="A32" s="12" t="s">
        <v>57</v>
      </c>
      <c r="B32" s="10" t="s">
        <v>58</v>
      </c>
      <c r="C32" s="10" t="s">
        <v>59</v>
      </c>
      <c r="D32" s="3" t="s">
        <v>23</v>
      </c>
      <c r="E32" s="3" t="s">
        <v>265</v>
      </c>
      <c r="F32" s="5">
        <v>41186</v>
      </c>
      <c r="G32" s="5">
        <v>42280</v>
      </c>
      <c r="H32" s="6" t="s">
        <v>4</v>
      </c>
      <c r="I32" s="7">
        <v>4688.64</v>
      </c>
      <c r="J32" s="7">
        <f>-93.78+1968.76</f>
        <v>1874.98</v>
      </c>
      <c r="K32" s="7">
        <f t="shared" si="1"/>
        <v>6563.620000000001</v>
      </c>
      <c r="L32" s="8"/>
    </row>
    <row r="33" spans="1:12" s="9" customFormat="1" ht="24.75" customHeight="1">
      <c r="A33" s="19" t="s">
        <v>173</v>
      </c>
      <c r="B33" s="4" t="s">
        <v>174</v>
      </c>
      <c r="C33" s="4" t="s">
        <v>91</v>
      </c>
      <c r="D33" s="3" t="s">
        <v>23</v>
      </c>
      <c r="E33" s="3" t="s">
        <v>265</v>
      </c>
      <c r="F33" s="5">
        <v>40940</v>
      </c>
      <c r="G33" s="5">
        <v>42035</v>
      </c>
      <c r="H33" s="6" t="s">
        <v>4</v>
      </c>
      <c r="I33" s="7">
        <v>4688.64</v>
      </c>
      <c r="J33" s="7">
        <f>-93.78+1968.76</f>
        <v>1874.98</v>
      </c>
      <c r="K33" s="7">
        <f t="shared" si="1"/>
        <v>6563.620000000001</v>
      </c>
      <c r="L33" s="8"/>
    </row>
    <row r="34" spans="1:12" s="9" customFormat="1" ht="24.75" customHeight="1">
      <c r="A34" s="19" t="s">
        <v>60</v>
      </c>
      <c r="B34" s="4" t="s">
        <v>61</v>
      </c>
      <c r="C34" s="4" t="s">
        <v>62</v>
      </c>
      <c r="D34" s="3" t="s">
        <v>23</v>
      </c>
      <c r="E34" s="3" t="s">
        <v>265</v>
      </c>
      <c r="F34" s="5">
        <v>41186</v>
      </c>
      <c r="G34" s="5">
        <v>42280</v>
      </c>
      <c r="H34" s="6" t="s">
        <v>4</v>
      </c>
      <c r="I34" s="7">
        <v>4688.64</v>
      </c>
      <c r="J34" s="7">
        <f>-93.78+1968.75</f>
        <v>1874.97</v>
      </c>
      <c r="K34" s="7">
        <f t="shared" si="1"/>
        <v>6563.610000000001</v>
      </c>
      <c r="L34" s="8"/>
    </row>
    <row r="35" spans="1:12" s="9" customFormat="1" ht="24.75" customHeight="1">
      <c r="A35" s="19" t="s">
        <v>198</v>
      </c>
      <c r="B35" s="4" t="s">
        <v>199</v>
      </c>
      <c r="C35" s="4" t="s">
        <v>200</v>
      </c>
      <c r="D35" s="3" t="s">
        <v>23</v>
      </c>
      <c r="E35" s="3" t="s">
        <v>265</v>
      </c>
      <c r="F35" s="5">
        <v>41297</v>
      </c>
      <c r="G35" s="5">
        <v>42026</v>
      </c>
      <c r="H35" s="6" t="s">
        <v>4</v>
      </c>
      <c r="I35" s="7">
        <v>4688.64</v>
      </c>
      <c r="J35" s="7">
        <f>-93.78+1968.76</f>
        <v>1874.98</v>
      </c>
      <c r="K35" s="7">
        <f t="shared" si="1"/>
        <v>6563.620000000001</v>
      </c>
      <c r="L35" s="8"/>
    </row>
    <row r="36" spans="1:12" s="9" customFormat="1" ht="24.75" customHeight="1">
      <c r="A36" s="19" t="s">
        <v>184</v>
      </c>
      <c r="B36" s="4" t="s">
        <v>185</v>
      </c>
      <c r="C36" s="4" t="s">
        <v>186</v>
      </c>
      <c r="D36" s="3" t="s">
        <v>23</v>
      </c>
      <c r="E36" s="3" t="s">
        <v>265</v>
      </c>
      <c r="F36" s="5">
        <v>40280</v>
      </c>
      <c r="G36" s="5">
        <v>41375</v>
      </c>
      <c r="H36" s="6" t="s">
        <v>4</v>
      </c>
      <c r="I36" s="7">
        <f>556.27+718.48</f>
        <v>1274.75</v>
      </c>
      <c r="J36" s="7">
        <f>-11.13+254.11-14.37+301.68</f>
        <v>530.29</v>
      </c>
      <c r="K36" s="7">
        <f t="shared" si="1"/>
        <v>1805.04</v>
      </c>
      <c r="L36" s="8"/>
    </row>
    <row r="37" spans="1:12" s="9" customFormat="1" ht="24.75" customHeight="1">
      <c r="A37" s="19" t="s">
        <v>184</v>
      </c>
      <c r="B37" s="4" t="s">
        <v>185</v>
      </c>
      <c r="C37" s="4" t="s">
        <v>186</v>
      </c>
      <c r="D37" s="3" t="s">
        <v>23</v>
      </c>
      <c r="E37" s="3" t="s">
        <v>265</v>
      </c>
      <c r="F37" s="5">
        <v>41396</v>
      </c>
      <c r="G37" s="5">
        <v>41944</v>
      </c>
      <c r="H37" s="6" t="s">
        <v>4</v>
      </c>
      <c r="I37" s="7">
        <f>1510.78+1562.88</f>
        <v>3073.66</v>
      </c>
      <c r="J37" s="7">
        <f>-30.22+634.38-31.26+656.26</f>
        <v>1229.1599999999999</v>
      </c>
      <c r="K37" s="7">
        <f t="shared" si="1"/>
        <v>4302.82</v>
      </c>
      <c r="L37" s="8"/>
    </row>
    <row r="38" spans="1:12" s="9" customFormat="1" ht="24.75" customHeight="1">
      <c r="A38" s="19" t="s">
        <v>108</v>
      </c>
      <c r="B38" s="4" t="s">
        <v>109</v>
      </c>
      <c r="C38" s="4" t="s">
        <v>110</v>
      </c>
      <c r="D38" s="3" t="s">
        <v>23</v>
      </c>
      <c r="E38" s="3" t="s">
        <v>265</v>
      </c>
      <c r="F38" s="5">
        <v>41366</v>
      </c>
      <c r="G38" s="5">
        <v>41730</v>
      </c>
      <c r="H38" s="6" t="s">
        <v>4</v>
      </c>
      <c r="I38" s="7">
        <v>4636.54</v>
      </c>
      <c r="J38" s="7">
        <f>-92.74+1946.9</f>
        <v>1854.16</v>
      </c>
      <c r="K38" s="7">
        <f t="shared" si="1"/>
        <v>6490.7</v>
      </c>
      <c r="L38" s="8"/>
    </row>
    <row r="39" spans="1:12" s="9" customFormat="1" ht="24.75" customHeight="1">
      <c r="A39" s="19" t="s">
        <v>43</v>
      </c>
      <c r="B39" s="4" t="s">
        <v>44</v>
      </c>
      <c r="C39" s="4" t="s">
        <v>45</v>
      </c>
      <c r="D39" s="3" t="s">
        <v>23</v>
      </c>
      <c r="E39" s="3" t="s">
        <v>265</v>
      </c>
      <c r="F39" s="5">
        <v>41239</v>
      </c>
      <c r="G39" s="5">
        <v>41603</v>
      </c>
      <c r="H39" s="6">
        <v>0.5</v>
      </c>
      <c r="I39" s="7">
        <v>3119.34</v>
      </c>
      <c r="J39" s="7">
        <f>-46.89+984.34</f>
        <v>937.45</v>
      </c>
      <c r="K39" s="7">
        <f t="shared" si="1"/>
        <v>4056.79</v>
      </c>
      <c r="L39" s="27" t="s">
        <v>286</v>
      </c>
    </row>
    <row r="40" spans="1:12" s="9" customFormat="1" ht="24.75" customHeight="1">
      <c r="A40" s="19" t="s">
        <v>122</v>
      </c>
      <c r="B40" s="4" t="s">
        <v>123</v>
      </c>
      <c r="C40" s="4" t="s">
        <v>124</v>
      </c>
      <c r="D40" s="3" t="s">
        <v>23</v>
      </c>
      <c r="E40" s="3" t="s">
        <v>265</v>
      </c>
      <c r="F40" s="5">
        <v>40771</v>
      </c>
      <c r="G40" s="5">
        <v>41866</v>
      </c>
      <c r="H40" s="6" t="s">
        <v>4</v>
      </c>
      <c r="I40" s="7">
        <v>4688.64</v>
      </c>
      <c r="J40" s="7">
        <f>-93.78+1968.76</f>
        <v>1874.98</v>
      </c>
      <c r="K40" s="7">
        <f t="shared" si="1"/>
        <v>6563.620000000001</v>
      </c>
      <c r="L40" s="13"/>
    </row>
    <row r="41" spans="1:12" s="9" customFormat="1" ht="24.75" customHeight="1">
      <c r="A41" s="19" t="s">
        <v>149</v>
      </c>
      <c r="B41" s="4" t="s">
        <v>150</v>
      </c>
      <c r="C41" s="4" t="s">
        <v>19</v>
      </c>
      <c r="D41" s="3" t="s">
        <v>23</v>
      </c>
      <c r="E41" s="3" t="s">
        <v>265</v>
      </c>
      <c r="F41" s="5">
        <v>41137</v>
      </c>
      <c r="G41" s="5">
        <v>42231</v>
      </c>
      <c r="H41" s="6" t="s">
        <v>4</v>
      </c>
      <c r="I41" s="7">
        <v>4688.64</v>
      </c>
      <c r="J41" s="7">
        <f>-93.78+1968.77</f>
        <v>1874.99</v>
      </c>
      <c r="K41" s="7">
        <f t="shared" si="1"/>
        <v>6563.63</v>
      </c>
      <c r="L41" s="8"/>
    </row>
    <row r="42" spans="1:12" s="9" customFormat="1" ht="24.75" customHeight="1">
      <c r="A42" s="19" t="s">
        <v>151</v>
      </c>
      <c r="B42" s="4" t="s">
        <v>152</v>
      </c>
      <c r="C42" s="4" t="s">
        <v>153</v>
      </c>
      <c r="D42" s="3" t="s">
        <v>23</v>
      </c>
      <c r="E42" s="3" t="s">
        <v>265</v>
      </c>
      <c r="F42" s="5">
        <v>41137</v>
      </c>
      <c r="G42" s="5">
        <v>42231</v>
      </c>
      <c r="H42" s="6" t="s">
        <v>4</v>
      </c>
      <c r="I42" s="7">
        <v>4688.65</v>
      </c>
      <c r="J42" s="7">
        <f>-93.78+1968.75</f>
        <v>1874.97</v>
      </c>
      <c r="K42" s="7">
        <f t="shared" si="1"/>
        <v>6563.62</v>
      </c>
      <c r="L42" s="8"/>
    </row>
    <row r="43" spans="1:12" s="9" customFormat="1" ht="24.75" customHeight="1">
      <c r="A43" s="19" t="s">
        <v>125</v>
      </c>
      <c r="B43" s="4" t="s">
        <v>126</v>
      </c>
      <c r="C43" s="4" t="s">
        <v>127</v>
      </c>
      <c r="D43" s="3" t="s">
        <v>23</v>
      </c>
      <c r="E43" s="3" t="s">
        <v>265</v>
      </c>
      <c r="F43" s="5">
        <v>40771</v>
      </c>
      <c r="G43" s="5">
        <v>41866</v>
      </c>
      <c r="H43" s="6" t="s">
        <v>4</v>
      </c>
      <c r="I43" s="7">
        <v>4688.64</v>
      </c>
      <c r="J43" s="7">
        <f>-93.78+1968.77</f>
        <v>1874.99</v>
      </c>
      <c r="K43" s="7">
        <f aca="true" t="shared" si="2" ref="K43:K74">I43+J43</f>
        <v>6563.63</v>
      </c>
      <c r="L43" s="8"/>
    </row>
    <row r="44" spans="1:12" s="9" customFormat="1" ht="24.75" customHeight="1">
      <c r="A44" s="19" t="s">
        <v>74</v>
      </c>
      <c r="B44" s="4" t="s">
        <v>75</v>
      </c>
      <c r="C44" s="4" t="s">
        <v>76</v>
      </c>
      <c r="D44" s="3" t="s">
        <v>23</v>
      </c>
      <c r="E44" s="3" t="s">
        <v>265</v>
      </c>
      <c r="F44" s="5">
        <v>41127</v>
      </c>
      <c r="G44" s="5">
        <v>41675</v>
      </c>
      <c r="H44" s="6" t="s">
        <v>4</v>
      </c>
      <c r="I44" s="7">
        <v>4688.64</v>
      </c>
      <c r="J44" s="7">
        <f>-93.78+1968.77</f>
        <v>1874.99</v>
      </c>
      <c r="K44" s="7">
        <f t="shared" si="2"/>
        <v>6563.63</v>
      </c>
      <c r="L44" s="8"/>
    </row>
    <row r="45" spans="1:12" s="9" customFormat="1" ht="24.75" customHeight="1">
      <c r="A45" s="19" t="s">
        <v>240</v>
      </c>
      <c r="B45" s="4" t="s">
        <v>241</v>
      </c>
      <c r="C45" s="4" t="s">
        <v>137</v>
      </c>
      <c r="D45" s="3" t="s">
        <v>23</v>
      </c>
      <c r="E45" s="3" t="s">
        <v>265</v>
      </c>
      <c r="F45" s="5">
        <v>41183</v>
      </c>
      <c r="G45" s="5">
        <v>42277</v>
      </c>
      <c r="H45" s="6" t="s">
        <v>4</v>
      </c>
      <c r="I45" s="7">
        <v>4688.64</v>
      </c>
      <c r="J45" s="7">
        <f>-93.78+1968.77</f>
        <v>1874.99</v>
      </c>
      <c r="K45" s="7">
        <f t="shared" si="2"/>
        <v>6563.63</v>
      </c>
      <c r="L45" s="8"/>
    </row>
    <row r="46" spans="1:12" s="9" customFormat="1" ht="22.5">
      <c r="A46" s="19" t="s">
        <v>217</v>
      </c>
      <c r="B46" s="4" t="s">
        <v>218</v>
      </c>
      <c r="C46" s="4" t="s">
        <v>118</v>
      </c>
      <c r="D46" s="3" t="s">
        <v>23</v>
      </c>
      <c r="E46" s="3" t="s">
        <v>265</v>
      </c>
      <c r="F46" s="5">
        <v>40462</v>
      </c>
      <c r="G46" s="5">
        <v>41557</v>
      </c>
      <c r="H46" s="6" t="s">
        <v>4</v>
      </c>
      <c r="I46" s="7">
        <f>4688.64-130.24</f>
        <v>4558.400000000001</v>
      </c>
      <c r="J46" s="7">
        <f>-93.78+2.61+1914.08</f>
        <v>1822.9099999999999</v>
      </c>
      <c r="K46" s="7">
        <f t="shared" si="2"/>
        <v>6381.31</v>
      </c>
      <c r="L46" s="8" t="s">
        <v>281</v>
      </c>
    </row>
    <row r="47" spans="1:12" s="9" customFormat="1" ht="45">
      <c r="A47" s="19" t="s">
        <v>162</v>
      </c>
      <c r="B47" s="4" t="s">
        <v>163</v>
      </c>
      <c r="C47" s="4" t="s">
        <v>164</v>
      </c>
      <c r="D47" s="3" t="s">
        <v>23</v>
      </c>
      <c r="E47" s="3" t="s">
        <v>265</v>
      </c>
      <c r="F47" s="5">
        <v>41346</v>
      </c>
      <c r="G47" s="5">
        <v>42075</v>
      </c>
      <c r="H47" s="6" t="s">
        <v>4</v>
      </c>
      <c r="I47" s="7">
        <f>5626.37-10.02</f>
        <v>5616.349999999999</v>
      </c>
      <c r="J47" s="7">
        <f>-93.78-18.55+2358.32</f>
        <v>2245.9900000000002</v>
      </c>
      <c r="K47" s="7">
        <f t="shared" si="2"/>
        <v>7862.34</v>
      </c>
      <c r="L47" s="8" t="s">
        <v>290</v>
      </c>
    </row>
    <row r="48" spans="1:12" s="40" customFormat="1" ht="67.5">
      <c r="A48" s="33" t="s">
        <v>28</v>
      </c>
      <c r="B48" s="34" t="s">
        <v>29</v>
      </c>
      <c r="C48" s="34" t="s">
        <v>30</v>
      </c>
      <c r="D48" s="35" t="s">
        <v>23</v>
      </c>
      <c r="E48" s="35" t="s">
        <v>265</v>
      </c>
      <c r="F48" s="36">
        <v>41207</v>
      </c>
      <c r="G48" s="36">
        <v>41571</v>
      </c>
      <c r="H48" s="37" t="s">
        <v>270</v>
      </c>
      <c r="I48" s="38">
        <v>2344.35</v>
      </c>
      <c r="J48" s="38">
        <f>-46.89+984.34</f>
        <v>937.45</v>
      </c>
      <c r="K48" s="38">
        <f t="shared" si="2"/>
        <v>3281.8</v>
      </c>
      <c r="L48" s="39"/>
    </row>
    <row r="49" spans="1:12" s="9" customFormat="1" ht="33.75">
      <c r="A49" s="19" t="s">
        <v>105</v>
      </c>
      <c r="B49" s="4" t="s">
        <v>106</v>
      </c>
      <c r="C49" s="4" t="s">
        <v>107</v>
      </c>
      <c r="D49" s="3" t="s">
        <v>23</v>
      </c>
      <c r="E49" s="3" t="s">
        <v>265</v>
      </c>
      <c r="F49" s="5">
        <v>41347</v>
      </c>
      <c r="G49" s="5">
        <v>41711</v>
      </c>
      <c r="H49" s="6" t="s">
        <v>4</v>
      </c>
      <c r="I49" s="7">
        <v>5574.27</v>
      </c>
      <c r="J49" s="7">
        <f>-93.78-17.71+2340.64</f>
        <v>2229.1499999999996</v>
      </c>
      <c r="K49" s="7">
        <f t="shared" si="2"/>
        <v>7803.42</v>
      </c>
      <c r="L49" s="8" t="s">
        <v>291</v>
      </c>
    </row>
    <row r="50" spans="1:12" s="9" customFormat="1" ht="24.75" customHeight="1">
      <c r="A50" s="19" t="s">
        <v>190</v>
      </c>
      <c r="B50" s="4" t="s">
        <v>191</v>
      </c>
      <c r="C50" s="4" t="s">
        <v>192</v>
      </c>
      <c r="D50" s="3" t="s">
        <v>23</v>
      </c>
      <c r="E50" s="3" t="s">
        <v>265</v>
      </c>
      <c r="F50" s="5">
        <v>41204</v>
      </c>
      <c r="G50" s="5">
        <v>41750</v>
      </c>
      <c r="H50" s="6" t="s">
        <v>4</v>
      </c>
      <c r="I50" s="7">
        <v>4688.64</v>
      </c>
      <c r="J50" s="7">
        <f>-93.78+1968.77</f>
        <v>1874.99</v>
      </c>
      <c r="K50" s="7">
        <f t="shared" si="2"/>
        <v>6563.63</v>
      </c>
      <c r="L50" s="8"/>
    </row>
    <row r="51" spans="1:12" s="9" customFormat="1" ht="24.75" customHeight="1">
      <c r="A51" s="19" t="s">
        <v>242</v>
      </c>
      <c r="B51" s="4" t="s">
        <v>139</v>
      </c>
      <c r="C51" s="4" t="s">
        <v>243</v>
      </c>
      <c r="D51" s="3" t="s">
        <v>23</v>
      </c>
      <c r="E51" s="3" t="s">
        <v>265</v>
      </c>
      <c r="F51" s="5">
        <v>41239</v>
      </c>
      <c r="G51" s="5">
        <v>42333</v>
      </c>
      <c r="H51" s="6" t="s">
        <v>4</v>
      </c>
      <c r="I51" s="7">
        <v>4688.64</v>
      </c>
      <c r="J51" s="7">
        <f>-93.78+0.01+1968.75</f>
        <v>1874.98</v>
      </c>
      <c r="K51" s="7">
        <f t="shared" si="2"/>
        <v>6563.620000000001</v>
      </c>
      <c r="L51" s="8"/>
    </row>
    <row r="52" spans="1:12" s="9" customFormat="1" ht="24.75" customHeight="1">
      <c r="A52" s="19" t="s">
        <v>147</v>
      </c>
      <c r="B52" s="4" t="s">
        <v>148</v>
      </c>
      <c r="C52" s="4" t="s">
        <v>118</v>
      </c>
      <c r="D52" s="3" t="s">
        <v>23</v>
      </c>
      <c r="E52" s="3" t="s">
        <v>265</v>
      </c>
      <c r="F52" s="5">
        <v>41137</v>
      </c>
      <c r="G52" s="5">
        <v>42231</v>
      </c>
      <c r="H52" s="6" t="s">
        <v>4</v>
      </c>
      <c r="I52" s="7">
        <v>4688.64</v>
      </c>
      <c r="J52" s="7">
        <f>-93.78+1968.77</f>
        <v>1874.99</v>
      </c>
      <c r="K52" s="7">
        <f t="shared" si="2"/>
        <v>6563.63</v>
      </c>
      <c r="L52" s="8"/>
    </row>
    <row r="53" spans="1:12" s="9" customFormat="1" ht="24.75" customHeight="1">
      <c r="A53" s="19" t="s">
        <v>225</v>
      </c>
      <c r="B53" s="4" t="s">
        <v>226</v>
      </c>
      <c r="C53" s="4" t="s">
        <v>130</v>
      </c>
      <c r="D53" s="3" t="s">
        <v>23</v>
      </c>
      <c r="E53" s="3" t="s">
        <v>265</v>
      </c>
      <c r="F53" s="5">
        <v>41372</v>
      </c>
      <c r="G53" s="5">
        <v>41736</v>
      </c>
      <c r="H53" s="6" t="s">
        <v>4</v>
      </c>
      <c r="I53" s="7">
        <v>4323.97</v>
      </c>
      <c r="J53" s="7">
        <f>-86.48+1815.64</f>
        <v>1729.16</v>
      </c>
      <c r="K53" s="7">
        <f t="shared" si="2"/>
        <v>6053.13</v>
      </c>
      <c r="L53" s="8"/>
    </row>
    <row r="54" spans="1:12" s="9" customFormat="1" ht="24.75" customHeight="1">
      <c r="A54" s="19" t="s">
        <v>131</v>
      </c>
      <c r="B54" s="4" t="s">
        <v>132</v>
      </c>
      <c r="C54" s="4" t="s">
        <v>133</v>
      </c>
      <c r="D54" s="3" t="s">
        <v>23</v>
      </c>
      <c r="E54" s="3" t="s">
        <v>265</v>
      </c>
      <c r="F54" s="5">
        <v>40735</v>
      </c>
      <c r="G54" s="5">
        <v>41790</v>
      </c>
      <c r="H54" s="6" t="s">
        <v>4</v>
      </c>
      <c r="I54" s="7">
        <v>4688.64</v>
      </c>
      <c r="J54" s="7">
        <f>-93.78+1968.77</f>
        <v>1874.99</v>
      </c>
      <c r="K54" s="7">
        <f t="shared" si="2"/>
        <v>6563.63</v>
      </c>
      <c r="L54" s="8"/>
    </row>
    <row r="55" spans="1:12" s="9" customFormat="1" ht="24.75" customHeight="1">
      <c r="A55" s="19" t="s">
        <v>113</v>
      </c>
      <c r="B55" s="4" t="s">
        <v>114</v>
      </c>
      <c r="C55" s="4" t="s">
        <v>115</v>
      </c>
      <c r="D55" s="3" t="s">
        <v>23</v>
      </c>
      <c r="E55" s="3" t="s">
        <v>265</v>
      </c>
      <c r="F55" s="5">
        <v>41137</v>
      </c>
      <c r="G55" s="5">
        <v>42231</v>
      </c>
      <c r="H55" s="6" t="s">
        <v>4</v>
      </c>
      <c r="I55" s="7">
        <f>4688.64-130.24</f>
        <v>4558.400000000001</v>
      </c>
      <c r="J55" s="7">
        <f>-93.78+2.6+1914.08</f>
        <v>1822.8999999999999</v>
      </c>
      <c r="K55" s="7">
        <f t="shared" si="2"/>
        <v>6381.3</v>
      </c>
      <c r="L55" s="8" t="s">
        <v>281</v>
      </c>
    </row>
    <row r="56" spans="1:12" s="9" customFormat="1" ht="24.75" customHeight="1">
      <c r="A56" s="19" t="s">
        <v>98</v>
      </c>
      <c r="B56" s="4" t="s">
        <v>99</v>
      </c>
      <c r="C56" s="4" t="s">
        <v>100</v>
      </c>
      <c r="D56" s="3" t="s">
        <v>23</v>
      </c>
      <c r="E56" s="11" t="s">
        <v>265</v>
      </c>
      <c r="F56" s="5">
        <v>41137</v>
      </c>
      <c r="G56" s="5">
        <v>42231</v>
      </c>
      <c r="H56" s="6" t="s">
        <v>4</v>
      </c>
      <c r="I56" s="7">
        <v>4943.9</v>
      </c>
      <c r="J56" s="7">
        <f>-93.78-5.11+2055.42</f>
        <v>1956.53</v>
      </c>
      <c r="K56" s="7">
        <f t="shared" si="2"/>
        <v>6900.429999999999</v>
      </c>
      <c r="L56" s="8" t="s">
        <v>293</v>
      </c>
    </row>
    <row r="57" spans="1:12" s="9" customFormat="1" ht="24.75" customHeight="1">
      <c r="A57" s="19" t="s">
        <v>202</v>
      </c>
      <c r="B57" s="4" t="s">
        <v>203</v>
      </c>
      <c r="C57" s="4" t="s">
        <v>204</v>
      </c>
      <c r="D57" s="3" t="s">
        <v>23</v>
      </c>
      <c r="E57" s="3" t="s">
        <v>265</v>
      </c>
      <c r="F57" s="5">
        <v>41171</v>
      </c>
      <c r="G57" s="5">
        <v>41716</v>
      </c>
      <c r="H57" s="6">
        <v>0.7</v>
      </c>
      <c r="I57" s="7">
        <v>3282.06</v>
      </c>
      <c r="J57" s="7">
        <f>-65.64+1378.12</f>
        <v>1312.4799999999998</v>
      </c>
      <c r="K57" s="7">
        <f t="shared" si="2"/>
        <v>4594.54</v>
      </c>
      <c r="L57" s="8"/>
    </row>
    <row r="58" spans="1:12" s="9" customFormat="1" ht="24.75" customHeight="1">
      <c r="A58" s="19" t="s">
        <v>154</v>
      </c>
      <c r="B58" s="4" t="s">
        <v>155</v>
      </c>
      <c r="C58" s="4" t="s">
        <v>118</v>
      </c>
      <c r="D58" s="3" t="s">
        <v>23</v>
      </c>
      <c r="E58" s="3" t="s">
        <v>265</v>
      </c>
      <c r="F58" s="5">
        <v>41276</v>
      </c>
      <c r="G58" s="5">
        <v>42370</v>
      </c>
      <c r="H58" s="6" t="s">
        <v>4</v>
      </c>
      <c r="I58" s="7">
        <v>4688.64</v>
      </c>
      <c r="J58" s="7">
        <f>-93.78+1968.77</f>
        <v>1874.99</v>
      </c>
      <c r="K58" s="7">
        <f t="shared" si="2"/>
        <v>6563.63</v>
      </c>
      <c r="L58" s="8"/>
    </row>
    <row r="59" spans="1:12" s="9" customFormat="1" ht="24.75" customHeight="1">
      <c r="A59" s="19" t="s">
        <v>222</v>
      </c>
      <c r="B59" s="4" t="s">
        <v>223</v>
      </c>
      <c r="C59" s="4" t="s">
        <v>224</v>
      </c>
      <c r="D59" s="3" t="s">
        <v>23</v>
      </c>
      <c r="E59" s="3" t="s">
        <v>265</v>
      </c>
      <c r="F59" s="5">
        <v>41372</v>
      </c>
      <c r="G59" s="5">
        <v>41736</v>
      </c>
      <c r="H59" s="6" t="s">
        <v>4</v>
      </c>
      <c r="I59" s="7">
        <v>4323.97</v>
      </c>
      <c r="J59" s="7">
        <f>-86.48+1815.64</f>
        <v>1729.16</v>
      </c>
      <c r="K59" s="7">
        <f t="shared" si="2"/>
        <v>6053.13</v>
      </c>
      <c r="L59" s="8"/>
    </row>
    <row r="60" spans="1:12" s="9" customFormat="1" ht="24.75" customHeight="1">
      <c r="A60" s="19" t="s">
        <v>92</v>
      </c>
      <c r="B60" s="4" t="s">
        <v>93</v>
      </c>
      <c r="C60" s="4" t="s">
        <v>94</v>
      </c>
      <c r="D60" s="3" t="s">
        <v>23</v>
      </c>
      <c r="E60" s="3" t="s">
        <v>265</v>
      </c>
      <c r="F60" s="5">
        <v>40788</v>
      </c>
      <c r="G60" s="5">
        <v>41883</v>
      </c>
      <c r="H60" s="6" t="s">
        <v>4</v>
      </c>
      <c r="I60" s="7">
        <v>4688.64</v>
      </c>
      <c r="J60" s="7">
        <f>-93.78+1968.77</f>
        <v>1874.99</v>
      </c>
      <c r="K60" s="7">
        <f t="shared" si="2"/>
        <v>6563.63</v>
      </c>
      <c r="L60" s="8"/>
    </row>
    <row r="61" spans="1:12" s="9" customFormat="1" ht="24.75" customHeight="1">
      <c r="A61" s="19" t="s">
        <v>63</v>
      </c>
      <c r="B61" s="4" t="s">
        <v>64</v>
      </c>
      <c r="C61" s="4" t="s">
        <v>65</v>
      </c>
      <c r="D61" s="3" t="s">
        <v>23</v>
      </c>
      <c r="E61" s="3" t="s">
        <v>265</v>
      </c>
      <c r="F61" s="5">
        <v>41137</v>
      </c>
      <c r="G61" s="5">
        <v>42231</v>
      </c>
      <c r="H61" s="6" t="s">
        <v>4</v>
      </c>
      <c r="I61" s="7">
        <f>4688.64-210.39</f>
        <v>4478.25</v>
      </c>
      <c r="J61" s="7">
        <f>-93.78+4.22+1880.44</f>
        <v>1790.88</v>
      </c>
      <c r="K61" s="7">
        <f t="shared" si="2"/>
        <v>6269.13</v>
      </c>
      <c r="L61" s="8" t="s">
        <v>294</v>
      </c>
    </row>
    <row r="62" spans="1:12" s="9" customFormat="1" ht="24.75" customHeight="1">
      <c r="A62" s="19" t="s">
        <v>249</v>
      </c>
      <c r="B62" s="4" t="s">
        <v>250</v>
      </c>
      <c r="C62" s="4" t="s">
        <v>251</v>
      </c>
      <c r="D62" s="3" t="s">
        <v>23</v>
      </c>
      <c r="E62" s="3" t="s">
        <v>265</v>
      </c>
      <c r="F62" s="5">
        <v>41372</v>
      </c>
      <c r="G62" s="5">
        <v>41698</v>
      </c>
      <c r="H62" s="6">
        <v>0.7</v>
      </c>
      <c r="I62" s="7">
        <v>3026.78</v>
      </c>
      <c r="J62" s="7">
        <v>1016.16</v>
      </c>
      <c r="K62" s="7">
        <f t="shared" si="2"/>
        <v>4042.94</v>
      </c>
      <c r="L62" s="8"/>
    </row>
    <row r="63" spans="1:12" s="40" customFormat="1" ht="67.5">
      <c r="A63" s="33" t="s">
        <v>37</v>
      </c>
      <c r="B63" s="34" t="s">
        <v>38</v>
      </c>
      <c r="C63" s="34" t="s">
        <v>39</v>
      </c>
      <c r="D63" s="35" t="s">
        <v>23</v>
      </c>
      <c r="E63" s="35" t="s">
        <v>265</v>
      </c>
      <c r="F63" s="36">
        <v>40294</v>
      </c>
      <c r="G63" s="36">
        <v>41389</v>
      </c>
      <c r="H63" s="37" t="s">
        <v>271</v>
      </c>
      <c r="I63" s="38">
        <v>1961.2</v>
      </c>
      <c r="J63" s="38">
        <f>-22.14-17.63+0.54+854.97</f>
        <v>815.74</v>
      </c>
      <c r="K63" s="38">
        <f t="shared" si="2"/>
        <v>2776.94</v>
      </c>
      <c r="L63" s="39"/>
    </row>
    <row r="64" spans="1:12" s="9" customFormat="1" ht="24.75" customHeight="1">
      <c r="A64" s="19" t="s">
        <v>71</v>
      </c>
      <c r="B64" s="4" t="s">
        <v>72</v>
      </c>
      <c r="C64" s="4" t="s">
        <v>73</v>
      </c>
      <c r="D64" s="3" t="s">
        <v>23</v>
      </c>
      <c r="E64" s="3" t="s">
        <v>265</v>
      </c>
      <c r="F64" s="5">
        <v>41127</v>
      </c>
      <c r="G64" s="5">
        <v>41675</v>
      </c>
      <c r="H64" s="6" t="s">
        <v>4</v>
      </c>
      <c r="I64" s="7">
        <v>4688.64</v>
      </c>
      <c r="J64" s="7">
        <f>-93.78+0.01+1968.79</f>
        <v>1875.02</v>
      </c>
      <c r="K64" s="7">
        <f t="shared" si="2"/>
        <v>6563.66</v>
      </c>
      <c r="L64" s="8"/>
    </row>
    <row r="65" spans="1:12" s="9" customFormat="1" ht="24.75" customHeight="1">
      <c r="A65" s="19" t="s">
        <v>178</v>
      </c>
      <c r="B65" s="4" t="s">
        <v>179</v>
      </c>
      <c r="C65" s="4" t="s">
        <v>180</v>
      </c>
      <c r="D65" s="3" t="s">
        <v>23</v>
      </c>
      <c r="E65" s="3" t="s">
        <v>265</v>
      </c>
      <c r="F65" s="5">
        <v>41275</v>
      </c>
      <c r="G65" s="5">
        <v>42004</v>
      </c>
      <c r="H65" s="6" t="s">
        <v>4</v>
      </c>
      <c r="I65" s="7">
        <v>4688.67</v>
      </c>
      <c r="J65" s="7">
        <f>-93.78+1968.75</f>
        <v>1874.97</v>
      </c>
      <c r="K65" s="7">
        <f t="shared" si="2"/>
        <v>6563.64</v>
      </c>
      <c r="L65" s="8"/>
    </row>
    <row r="66" spans="1:12" s="9" customFormat="1" ht="24.75" customHeight="1">
      <c r="A66" s="19" t="s">
        <v>89</v>
      </c>
      <c r="B66" s="4" t="s">
        <v>90</v>
      </c>
      <c r="C66" s="4" t="s">
        <v>91</v>
      </c>
      <c r="D66" s="3" t="s">
        <v>23</v>
      </c>
      <c r="E66" s="3" t="s">
        <v>265</v>
      </c>
      <c r="F66" s="5">
        <v>41137</v>
      </c>
      <c r="G66" s="5">
        <v>42231</v>
      </c>
      <c r="H66" s="6" t="s">
        <v>4</v>
      </c>
      <c r="I66" s="7">
        <v>4688.64</v>
      </c>
      <c r="J66" s="7">
        <f>-93.78+1968.76</f>
        <v>1874.98</v>
      </c>
      <c r="K66" s="7">
        <f t="shared" si="2"/>
        <v>6563.620000000001</v>
      </c>
      <c r="L66" s="8"/>
    </row>
    <row r="67" spans="1:12" s="9" customFormat="1" ht="24.75" customHeight="1">
      <c r="A67" s="19" t="s">
        <v>86</v>
      </c>
      <c r="B67" s="4" t="s">
        <v>87</v>
      </c>
      <c r="C67" s="4" t="s">
        <v>88</v>
      </c>
      <c r="D67" s="3" t="s">
        <v>23</v>
      </c>
      <c r="E67" s="3" t="s">
        <v>265</v>
      </c>
      <c r="F67" s="5">
        <v>41379</v>
      </c>
      <c r="G67" s="5">
        <v>42474</v>
      </c>
      <c r="H67" s="6" t="s">
        <v>4</v>
      </c>
      <c r="I67" s="7">
        <v>4256.05</v>
      </c>
      <c r="J67" s="7">
        <f>-22.79-62.52+0.18+1786.68</f>
        <v>1701.5500000000002</v>
      </c>
      <c r="K67" s="7">
        <f t="shared" si="2"/>
        <v>5957.6</v>
      </c>
      <c r="L67" s="30" t="s">
        <v>295</v>
      </c>
    </row>
    <row r="68" spans="1:12" s="9" customFormat="1" ht="24.75" customHeight="1">
      <c r="A68" s="19" t="s">
        <v>54</v>
      </c>
      <c r="B68" s="4" t="s">
        <v>55</v>
      </c>
      <c r="C68" s="4" t="s">
        <v>56</v>
      </c>
      <c r="D68" s="3" t="s">
        <v>23</v>
      </c>
      <c r="E68" s="3" t="s">
        <v>265</v>
      </c>
      <c r="F68" s="5">
        <v>41137</v>
      </c>
      <c r="G68" s="5">
        <v>42231</v>
      </c>
      <c r="H68" s="6" t="s">
        <v>4</v>
      </c>
      <c r="I68" s="7">
        <v>4688.64</v>
      </c>
      <c r="J68" s="7">
        <f>-93.78+1968.76</f>
        <v>1874.98</v>
      </c>
      <c r="K68" s="7">
        <f t="shared" si="2"/>
        <v>6563.620000000001</v>
      </c>
      <c r="L68" s="8"/>
    </row>
    <row r="69" spans="1:12" s="9" customFormat="1" ht="24.75" customHeight="1">
      <c r="A69" s="19" t="s">
        <v>229</v>
      </c>
      <c r="B69" s="4" t="s">
        <v>230</v>
      </c>
      <c r="C69" s="4" t="s">
        <v>36</v>
      </c>
      <c r="D69" s="3" t="s">
        <v>23</v>
      </c>
      <c r="E69" s="3" t="s">
        <v>265</v>
      </c>
      <c r="F69" s="5">
        <v>41312</v>
      </c>
      <c r="G69" s="5">
        <v>41857</v>
      </c>
      <c r="H69" s="6" t="s">
        <v>4</v>
      </c>
      <c r="I69" s="7">
        <v>4688.64</v>
      </c>
      <c r="J69" s="7">
        <f>-93.78+1968.76</f>
        <v>1874.98</v>
      </c>
      <c r="K69" s="7">
        <f t="shared" si="2"/>
        <v>6563.620000000001</v>
      </c>
      <c r="L69" s="8"/>
    </row>
    <row r="70" spans="1:12" s="9" customFormat="1" ht="35.25" customHeight="1">
      <c r="A70" s="19" t="s">
        <v>80</v>
      </c>
      <c r="B70" s="4" t="s">
        <v>81</v>
      </c>
      <c r="C70" s="4" t="s">
        <v>82</v>
      </c>
      <c r="D70" s="3" t="s">
        <v>23</v>
      </c>
      <c r="E70" s="3" t="s">
        <v>265</v>
      </c>
      <c r="F70" s="5">
        <v>41225</v>
      </c>
      <c r="G70" s="5">
        <v>42319</v>
      </c>
      <c r="H70" s="6" t="s">
        <v>4</v>
      </c>
      <c r="I70" s="7">
        <v>4688.64</v>
      </c>
      <c r="J70" s="7">
        <f>-93.78+0.01+1968.78</f>
        <v>1875.01</v>
      </c>
      <c r="K70" s="7">
        <f t="shared" si="2"/>
        <v>6563.650000000001</v>
      </c>
      <c r="L70" s="8"/>
    </row>
    <row r="71" spans="1:12" s="9" customFormat="1" ht="24.75" customHeight="1">
      <c r="A71" s="19" t="s">
        <v>187</v>
      </c>
      <c r="B71" s="4" t="s">
        <v>188</v>
      </c>
      <c r="C71" s="4" t="s">
        <v>189</v>
      </c>
      <c r="D71" s="3" t="s">
        <v>23</v>
      </c>
      <c r="E71" s="3" t="s">
        <v>265</v>
      </c>
      <c r="F71" s="5">
        <v>41075</v>
      </c>
      <c r="G71" s="5">
        <v>41439</v>
      </c>
      <c r="H71" s="6" t="s">
        <v>4</v>
      </c>
      <c r="I71" s="7">
        <v>3855.11</v>
      </c>
      <c r="J71" s="7">
        <f>-77.11+1659.25</f>
        <v>1582.14</v>
      </c>
      <c r="K71" s="7">
        <f t="shared" si="2"/>
        <v>5437.25</v>
      </c>
      <c r="L71" s="8"/>
    </row>
    <row r="72" spans="1:12" s="9" customFormat="1" ht="33.75">
      <c r="A72" s="19" t="s">
        <v>171</v>
      </c>
      <c r="B72" s="4" t="s">
        <v>172</v>
      </c>
      <c r="C72" s="4" t="s">
        <v>127</v>
      </c>
      <c r="D72" s="3" t="s">
        <v>23</v>
      </c>
      <c r="E72" s="3" t="s">
        <v>265</v>
      </c>
      <c r="F72" s="5">
        <v>41347</v>
      </c>
      <c r="G72" s="5">
        <v>42442</v>
      </c>
      <c r="H72" s="6" t="s">
        <v>4</v>
      </c>
      <c r="I72" s="7">
        <v>5574.27</v>
      </c>
      <c r="J72" s="7">
        <f>-93.78-17.71+2340.64</f>
        <v>2229.1499999999996</v>
      </c>
      <c r="K72" s="7">
        <f t="shared" si="2"/>
        <v>7803.42</v>
      </c>
      <c r="L72" s="8" t="s">
        <v>291</v>
      </c>
    </row>
    <row r="73" spans="1:12" s="9" customFormat="1" ht="24.75" customHeight="1">
      <c r="A73" s="19" t="s">
        <v>128</v>
      </c>
      <c r="B73" s="4" t="s">
        <v>129</v>
      </c>
      <c r="C73" s="4" t="s">
        <v>118</v>
      </c>
      <c r="D73" s="3" t="s">
        <v>23</v>
      </c>
      <c r="E73" s="3" t="s">
        <v>265</v>
      </c>
      <c r="F73" s="5">
        <v>41137</v>
      </c>
      <c r="G73" s="5">
        <v>42231</v>
      </c>
      <c r="H73" s="6" t="s">
        <v>4</v>
      </c>
      <c r="I73" s="7">
        <v>4688.64</v>
      </c>
      <c r="J73" s="7">
        <f>-93.78+1968.77</f>
        <v>1874.99</v>
      </c>
      <c r="K73" s="7">
        <f t="shared" si="2"/>
        <v>6563.63</v>
      </c>
      <c r="L73" s="8"/>
    </row>
    <row r="74" spans="1:12" s="9" customFormat="1" ht="24.75" customHeight="1">
      <c r="A74" s="19" t="s">
        <v>134</v>
      </c>
      <c r="B74" s="4" t="s">
        <v>135</v>
      </c>
      <c r="C74" s="4" t="s">
        <v>136</v>
      </c>
      <c r="D74" s="3" t="s">
        <v>23</v>
      </c>
      <c r="E74" s="3" t="s">
        <v>265</v>
      </c>
      <c r="F74" s="5">
        <v>41312</v>
      </c>
      <c r="G74" s="5">
        <v>41676</v>
      </c>
      <c r="H74" s="6" t="s">
        <v>4</v>
      </c>
      <c r="I74" s="7">
        <v>4688.64</v>
      </c>
      <c r="J74" s="7">
        <f>-93.78+1968.76</f>
        <v>1874.98</v>
      </c>
      <c r="K74" s="7">
        <f t="shared" si="2"/>
        <v>6563.620000000001</v>
      </c>
      <c r="L74" s="8"/>
    </row>
    <row r="75" spans="1:12" s="9" customFormat="1" ht="24.75" customHeight="1">
      <c r="A75" s="19" t="s">
        <v>40</v>
      </c>
      <c r="B75" s="4" t="s">
        <v>41</v>
      </c>
      <c r="C75" s="4" t="s">
        <v>42</v>
      </c>
      <c r="D75" s="3" t="s">
        <v>23</v>
      </c>
      <c r="E75" s="3" t="s">
        <v>265</v>
      </c>
      <c r="F75" s="5">
        <v>41155</v>
      </c>
      <c r="G75" s="5">
        <v>41884</v>
      </c>
      <c r="H75" s="6" t="s">
        <v>4</v>
      </c>
      <c r="I75" s="7">
        <v>4688.64</v>
      </c>
      <c r="J75" s="7">
        <f>-93.78+1968.77</f>
        <v>1874.99</v>
      </c>
      <c r="K75" s="7">
        <f aca="true" t="shared" si="3" ref="K75:K83">I75+J75</f>
        <v>6563.63</v>
      </c>
      <c r="L75" s="8"/>
    </row>
    <row r="76" spans="1:12" s="9" customFormat="1" ht="24.75" customHeight="1">
      <c r="A76" s="19" t="s">
        <v>257</v>
      </c>
      <c r="B76" s="4" t="s">
        <v>258</v>
      </c>
      <c r="C76" s="4" t="s">
        <v>259</v>
      </c>
      <c r="D76" s="3" t="s">
        <v>23</v>
      </c>
      <c r="E76" s="3" t="s">
        <v>265</v>
      </c>
      <c r="F76" s="5">
        <v>41396</v>
      </c>
      <c r="G76" s="5">
        <v>41698</v>
      </c>
      <c r="H76" s="6">
        <v>0.7</v>
      </c>
      <c r="I76" s="7">
        <v>2151.57</v>
      </c>
      <c r="J76" s="7">
        <v>722.39</v>
      </c>
      <c r="K76" s="7">
        <f t="shared" si="3"/>
        <v>2873.96</v>
      </c>
      <c r="L76" s="8"/>
    </row>
    <row r="77" spans="1:12" s="9" customFormat="1" ht="24.75" customHeight="1">
      <c r="A77" s="19" t="s">
        <v>66</v>
      </c>
      <c r="B77" s="4" t="s">
        <v>67</v>
      </c>
      <c r="C77" s="4" t="s">
        <v>68</v>
      </c>
      <c r="D77" s="3" t="s">
        <v>23</v>
      </c>
      <c r="E77" s="3" t="s">
        <v>265</v>
      </c>
      <c r="F77" s="5">
        <v>41297</v>
      </c>
      <c r="G77" s="5">
        <v>41661</v>
      </c>
      <c r="H77" s="6" t="s">
        <v>4</v>
      </c>
      <c r="I77" s="7">
        <v>4688.64</v>
      </c>
      <c r="J77" s="7">
        <f>-93.78+1968.76</f>
        <v>1874.98</v>
      </c>
      <c r="K77" s="7">
        <f t="shared" si="3"/>
        <v>6563.620000000001</v>
      </c>
      <c r="L77" s="8"/>
    </row>
    <row r="78" spans="1:12" s="9" customFormat="1" ht="24.75" customHeight="1">
      <c r="A78" s="19" t="s">
        <v>51</v>
      </c>
      <c r="B78" s="4" t="s">
        <v>52</v>
      </c>
      <c r="C78" s="4" t="s">
        <v>53</v>
      </c>
      <c r="D78" s="3" t="s">
        <v>23</v>
      </c>
      <c r="E78" s="3" t="s">
        <v>265</v>
      </c>
      <c r="F78" s="5">
        <v>41297</v>
      </c>
      <c r="G78" s="5">
        <v>41661</v>
      </c>
      <c r="H78" s="6" t="s">
        <v>4</v>
      </c>
      <c r="I78" s="7">
        <v>4688.64</v>
      </c>
      <c r="J78" s="7">
        <f>-93.78+1968.77</f>
        <v>1874.99</v>
      </c>
      <c r="K78" s="7">
        <f t="shared" si="3"/>
        <v>6563.63</v>
      </c>
      <c r="L78" s="8"/>
    </row>
    <row r="79" spans="1:12" s="9" customFormat="1" ht="24.75" customHeight="1">
      <c r="A79" s="19" t="s">
        <v>205</v>
      </c>
      <c r="B79" s="4" t="s">
        <v>206</v>
      </c>
      <c r="C79" s="4" t="s">
        <v>79</v>
      </c>
      <c r="D79" s="3" t="s">
        <v>23</v>
      </c>
      <c r="E79" s="3" t="s">
        <v>265</v>
      </c>
      <c r="F79" s="5">
        <v>41171</v>
      </c>
      <c r="G79" s="5">
        <v>41716</v>
      </c>
      <c r="H79" s="6">
        <v>0.7</v>
      </c>
      <c r="I79" s="7">
        <v>3282.06</v>
      </c>
      <c r="J79" s="7">
        <f>-65.64+1378.12</f>
        <v>1312.4799999999998</v>
      </c>
      <c r="K79" s="7">
        <f t="shared" si="3"/>
        <v>4594.54</v>
      </c>
      <c r="L79" s="8"/>
    </row>
    <row r="80" spans="1:12" s="9" customFormat="1" ht="24.75" customHeight="1">
      <c r="A80" s="19" t="s">
        <v>252</v>
      </c>
      <c r="B80" s="4" t="s">
        <v>253</v>
      </c>
      <c r="C80" s="4" t="s">
        <v>254</v>
      </c>
      <c r="D80" s="3" t="s">
        <v>23</v>
      </c>
      <c r="E80" s="3" t="s">
        <v>265</v>
      </c>
      <c r="F80" s="5">
        <v>41372</v>
      </c>
      <c r="G80" s="5">
        <v>41698</v>
      </c>
      <c r="H80" s="6">
        <v>0.7</v>
      </c>
      <c r="I80" s="7">
        <v>3026.78</v>
      </c>
      <c r="J80" s="7">
        <v>1016.16</v>
      </c>
      <c r="K80" s="7">
        <f t="shared" si="3"/>
        <v>4042.94</v>
      </c>
      <c r="L80" s="8"/>
    </row>
    <row r="81" spans="1:12" s="9" customFormat="1" ht="24.75" customHeight="1">
      <c r="A81" s="19" t="s">
        <v>260</v>
      </c>
      <c r="B81" s="4" t="s">
        <v>261</v>
      </c>
      <c r="C81" s="4" t="s">
        <v>262</v>
      </c>
      <c r="D81" s="3" t="s">
        <v>23</v>
      </c>
      <c r="E81" s="3" t="s">
        <v>265</v>
      </c>
      <c r="F81" s="5">
        <v>41431</v>
      </c>
      <c r="G81" s="5">
        <v>41698</v>
      </c>
      <c r="H81" s="6">
        <v>0.7</v>
      </c>
      <c r="I81" s="7">
        <v>911.68</v>
      </c>
      <c r="J81" s="7">
        <v>306.13</v>
      </c>
      <c r="K81" s="7">
        <f t="shared" si="3"/>
        <v>1217.81</v>
      </c>
      <c r="L81" s="8"/>
    </row>
    <row r="82" spans="1:12" s="9" customFormat="1" ht="24.75" customHeight="1">
      <c r="A82" s="19" t="s">
        <v>175</v>
      </c>
      <c r="B82" s="4" t="s">
        <v>176</v>
      </c>
      <c r="C82" s="4" t="s">
        <v>177</v>
      </c>
      <c r="D82" s="3" t="s">
        <v>23</v>
      </c>
      <c r="E82" s="3" t="s">
        <v>265</v>
      </c>
      <c r="F82" s="5">
        <v>40380</v>
      </c>
      <c r="G82" s="5">
        <v>41475</v>
      </c>
      <c r="H82" s="6" t="s">
        <v>4</v>
      </c>
      <c r="I82" s="7">
        <v>4688.64</v>
      </c>
      <c r="J82" s="7">
        <f>-93.78+1968.77</f>
        <v>1874.99</v>
      </c>
      <c r="K82" s="7">
        <f t="shared" si="3"/>
        <v>6563.63</v>
      </c>
      <c r="L82" s="8"/>
    </row>
    <row r="83" spans="1:12" s="9" customFormat="1" ht="24.75" customHeight="1">
      <c r="A83" s="19" t="s">
        <v>193</v>
      </c>
      <c r="B83" s="4" t="s">
        <v>194</v>
      </c>
      <c r="C83" s="4" t="s">
        <v>45</v>
      </c>
      <c r="D83" s="3" t="s">
        <v>23</v>
      </c>
      <c r="E83" s="3" t="s">
        <v>265</v>
      </c>
      <c r="F83" s="5">
        <v>41137</v>
      </c>
      <c r="G83" s="5">
        <v>42231</v>
      </c>
      <c r="H83" s="6" t="s">
        <v>4</v>
      </c>
      <c r="I83" s="7">
        <f>4688.65-160.3</f>
        <v>4528.349999999999</v>
      </c>
      <c r="J83" s="7">
        <f>-93.78+3.2+1901.46</f>
        <v>1810.88</v>
      </c>
      <c r="K83" s="7">
        <f t="shared" si="3"/>
        <v>6339.23</v>
      </c>
      <c r="L83" s="8" t="s">
        <v>301</v>
      </c>
    </row>
    <row r="84" spans="1:12" s="67" customFormat="1" ht="24.75" customHeight="1">
      <c r="A84" s="61"/>
      <c r="B84" s="62" t="s">
        <v>303</v>
      </c>
      <c r="C84" s="63"/>
      <c r="D84" s="63"/>
      <c r="E84" s="63"/>
      <c r="F84" s="63"/>
      <c r="G84" s="63"/>
      <c r="H84" s="64"/>
      <c r="I84" s="65">
        <f>SUM(I11:I83)</f>
        <v>297043.4600000002</v>
      </c>
      <c r="J84" s="65">
        <f>SUM(J11:J83)</f>
        <v>117625.12000000002</v>
      </c>
      <c r="K84" s="65">
        <f>SUM(K11:K83)</f>
        <v>414668.57999999996</v>
      </c>
      <c r="L84" s="66"/>
    </row>
    <row r="85" spans="1:12" s="9" customFormat="1" ht="24.75" customHeight="1">
      <c r="A85" s="19" t="s">
        <v>5</v>
      </c>
      <c r="B85" s="10" t="s">
        <v>273</v>
      </c>
      <c r="C85" s="4" t="s">
        <v>6</v>
      </c>
      <c r="D85" s="3" t="s">
        <v>264</v>
      </c>
      <c r="E85" s="3" t="s">
        <v>264</v>
      </c>
      <c r="F85" s="5">
        <v>41031</v>
      </c>
      <c r="G85" s="5">
        <v>42125</v>
      </c>
      <c r="H85" s="6" t="s">
        <v>4</v>
      </c>
      <c r="I85" s="7">
        <v>3649.41</v>
      </c>
      <c r="J85" s="7">
        <v>1228.77</v>
      </c>
      <c r="K85" s="7">
        <f aca="true" t="shared" si="4" ref="K85:K90">I85+J85</f>
        <v>4878.18</v>
      </c>
      <c r="L85" s="8"/>
    </row>
    <row r="86" spans="1:12" s="9" customFormat="1" ht="24.75" customHeight="1">
      <c r="A86" s="19" t="s">
        <v>14</v>
      </c>
      <c r="B86" s="4" t="s">
        <v>15</v>
      </c>
      <c r="C86" s="4" t="s">
        <v>16</v>
      </c>
      <c r="D86" s="3" t="s">
        <v>264</v>
      </c>
      <c r="E86" s="3" t="s">
        <v>264</v>
      </c>
      <c r="F86" s="5">
        <v>41205</v>
      </c>
      <c r="G86" s="5">
        <v>41751</v>
      </c>
      <c r="H86" s="6" t="s">
        <v>4</v>
      </c>
      <c r="I86" s="7">
        <v>4749.6</v>
      </c>
      <c r="J86" s="32">
        <f>1231.64-0.86</f>
        <v>1230.7800000000002</v>
      </c>
      <c r="K86" s="7">
        <f t="shared" si="4"/>
        <v>5980.380000000001</v>
      </c>
      <c r="L86" s="8" t="s">
        <v>300</v>
      </c>
    </row>
    <row r="87" spans="1:12" s="9" customFormat="1" ht="12.75">
      <c r="A87" s="19" t="s">
        <v>20</v>
      </c>
      <c r="B87" s="4" t="s">
        <v>21</v>
      </c>
      <c r="C87" s="4" t="s">
        <v>22</v>
      </c>
      <c r="D87" s="3" t="s">
        <v>264</v>
      </c>
      <c r="E87" s="3" t="s">
        <v>264</v>
      </c>
      <c r="F87" s="5">
        <v>41213</v>
      </c>
      <c r="G87" s="5">
        <v>41759</v>
      </c>
      <c r="H87" s="6" t="s">
        <v>4</v>
      </c>
      <c r="I87" s="7">
        <v>3649.41</v>
      </c>
      <c r="J87" s="7">
        <v>1230.78</v>
      </c>
      <c r="K87" s="7">
        <f t="shared" si="4"/>
        <v>4880.19</v>
      </c>
      <c r="L87" s="8"/>
    </row>
    <row r="88" spans="1:12" s="9" customFormat="1" ht="24.75" customHeight="1">
      <c r="A88" s="19" t="s">
        <v>8</v>
      </c>
      <c r="B88" s="4" t="s">
        <v>9</v>
      </c>
      <c r="C88" s="4" t="s">
        <v>10</v>
      </c>
      <c r="D88" s="3" t="s">
        <v>264</v>
      </c>
      <c r="E88" s="3" t="s">
        <v>264</v>
      </c>
      <c r="F88" s="5">
        <v>40819</v>
      </c>
      <c r="G88" s="5">
        <v>41822</v>
      </c>
      <c r="H88" s="6" t="s">
        <v>4</v>
      </c>
      <c r="I88" s="7">
        <v>3649.41</v>
      </c>
      <c r="J88" s="7">
        <v>1230.78</v>
      </c>
      <c r="K88" s="7">
        <f t="shared" si="4"/>
        <v>4880.19</v>
      </c>
      <c r="L88" s="8"/>
    </row>
    <row r="89" spans="1:12" s="9" customFormat="1" ht="24.75" customHeight="1">
      <c r="A89" s="19" t="s">
        <v>17</v>
      </c>
      <c r="B89" s="4" t="s">
        <v>18</v>
      </c>
      <c r="C89" s="4" t="s">
        <v>19</v>
      </c>
      <c r="D89" s="3" t="s">
        <v>264</v>
      </c>
      <c r="E89" s="3" t="s">
        <v>264</v>
      </c>
      <c r="F89" s="5">
        <v>41155</v>
      </c>
      <c r="G89" s="5">
        <v>41700</v>
      </c>
      <c r="H89" s="6" t="s">
        <v>4</v>
      </c>
      <c r="I89" s="7">
        <v>3649.41</v>
      </c>
      <c r="J89" s="7">
        <v>1230.78</v>
      </c>
      <c r="K89" s="7">
        <f t="shared" si="4"/>
        <v>4880.19</v>
      </c>
      <c r="L89" s="8"/>
    </row>
    <row r="90" spans="1:12" s="9" customFormat="1" ht="24.75" customHeight="1">
      <c r="A90" s="19" t="s">
        <v>11</v>
      </c>
      <c r="B90" s="4" t="s">
        <v>12</v>
      </c>
      <c r="C90" s="4" t="s">
        <v>13</v>
      </c>
      <c r="D90" s="3" t="s">
        <v>264</v>
      </c>
      <c r="E90" s="3" t="s">
        <v>264</v>
      </c>
      <c r="F90" s="5">
        <v>41213</v>
      </c>
      <c r="G90" s="5">
        <v>41759</v>
      </c>
      <c r="H90" s="6" t="s">
        <v>4</v>
      </c>
      <c r="I90" s="7">
        <v>4749.6</v>
      </c>
      <c r="J90" s="7">
        <f>1231.64-0.86</f>
        <v>1230.7800000000002</v>
      </c>
      <c r="K90" s="7">
        <f t="shared" si="4"/>
        <v>5980.380000000001</v>
      </c>
      <c r="L90" s="8" t="s">
        <v>300</v>
      </c>
    </row>
    <row r="91" spans="1:12" s="67" customFormat="1" ht="24.75" customHeight="1">
      <c r="A91" s="61"/>
      <c r="B91" s="62" t="s">
        <v>304</v>
      </c>
      <c r="C91" s="63"/>
      <c r="D91" s="63"/>
      <c r="E91" s="63"/>
      <c r="F91" s="63"/>
      <c r="G91" s="63"/>
      <c r="H91" s="64"/>
      <c r="I91" s="65">
        <f>SUM(I85:I90)</f>
        <v>24096.839999999997</v>
      </c>
      <c r="J91" s="65">
        <f>SUM(J85:J90)</f>
        <v>7382.67</v>
      </c>
      <c r="K91" s="65">
        <f>SUM(K85:K90)</f>
        <v>31479.51</v>
      </c>
      <c r="L91" s="66"/>
    </row>
    <row r="92" spans="1:12" s="9" customFormat="1" ht="24.75" customHeight="1">
      <c r="A92" s="19" t="s">
        <v>244</v>
      </c>
      <c r="B92" s="4" t="s">
        <v>245</v>
      </c>
      <c r="C92" s="4" t="s">
        <v>246</v>
      </c>
      <c r="D92" s="3" t="s">
        <v>104</v>
      </c>
      <c r="E92" s="3" t="s">
        <v>268</v>
      </c>
      <c r="F92" s="5">
        <v>40280</v>
      </c>
      <c r="G92" s="5">
        <v>41375</v>
      </c>
      <c r="H92" s="6" t="s">
        <v>4</v>
      </c>
      <c r="I92" s="7">
        <f>1754.33-35.17</f>
        <v>1719.1599999999999</v>
      </c>
      <c r="J92" s="7">
        <f>-13.41-20.98+770.72</f>
        <v>736.33</v>
      </c>
      <c r="K92" s="7">
        <f aca="true" t="shared" si="5" ref="K92:K100">I92+J92</f>
        <v>2455.49</v>
      </c>
      <c r="L92" s="8" t="s">
        <v>281</v>
      </c>
    </row>
    <row r="93" spans="1:12" s="9" customFormat="1" ht="24.75" customHeight="1">
      <c r="A93" s="19" t="s">
        <v>144</v>
      </c>
      <c r="B93" s="4" t="s">
        <v>145</v>
      </c>
      <c r="C93" s="4" t="s">
        <v>146</v>
      </c>
      <c r="D93" s="3" t="s">
        <v>104</v>
      </c>
      <c r="E93" s="3" t="s">
        <v>268</v>
      </c>
      <c r="F93" s="5">
        <v>41323</v>
      </c>
      <c r="G93" s="5">
        <v>41687</v>
      </c>
      <c r="H93" s="6" t="s">
        <v>4</v>
      </c>
      <c r="I93" s="7">
        <v>5485.8</v>
      </c>
      <c r="J93" s="7">
        <f>-109.71+2303.52</f>
        <v>2193.81</v>
      </c>
      <c r="K93" s="7">
        <f t="shared" si="5"/>
        <v>7679.610000000001</v>
      </c>
      <c r="L93" s="8"/>
    </row>
    <row r="94" spans="1:12" s="9" customFormat="1" ht="24.75" customHeight="1">
      <c r="A94" s="19" t="s">
        <v>138</v>
      </c>
      <c r="B94" s="4" t="s">
        <v>139</v>
      </c>
      <c r="C94" s="4" t="s">
        <v>140</v>
      </c>
      <c r="D94" s="3" t="s">
        <v>104</v>
      </c>
      <c r="E94" s="3" t="s">
        <v>268</v>
      </c>
      <c r="F94" s="5">
        <v>41366</v>
      </c>
      <c r="G94" s="5">
        <v>42461</v>
      </c>
      <c r="H94" s="6" t="s">
        <v>4</v>
      </c>
      <c r="I94" s="7">
        <v>5424.85</v>
      </c>
      <c r="J94" s="7">
        <f>-108.49+2277.92</f>
        <v>2169.4300000000003</v>
      </c>
      <c r="K94" s="7">
        <f t="shared" si="5"/>
        <v>7594.280000000001</v>
      </c>
      <c r="L94" s="8"/>
    </row>
    <row r="95" spans="1:12" s="9" customFormat="1" ht="24.75" customHeight="1">
      <c r="A95" s="19" t="s">
        <v>101</v>
      </c>
      <c r="B95" s="4" t="s">
        <v>102</v>
      </c>
      <c r="C95" s="4" t="s">
        <v>103</v>
      </c>
      <c r="D95" s="3" t="s">
        <v>104</v>
      </c>
      <c r="E95" s="3" t="s">
        <v>268</v>
      </c>
      <c r="F95" s="5">
        <v>41297</v>
      </c>
      <c r="G95" s="5">
        <v>41661</v>
      </c>
      <c r="H95" s="6" t="s">
        <v>4</v>
      </c>
      <c r="I95" s="7">
        <v>5485.8</v>
      </c>
      <c r="J95" s="7">
        <f>-109.71+2303.52</f>
        <v>2193.81</v>
      </c>
      <c r="K95" s="7">
        <f t="shared" si="5"/>
        <v>7679.610000000001</v>
      </c>
      <c r="L95" s="8"/>
    </row>
    <row r="96" spans="1:12" s="9" customFormat="1" ht="24.75" customHeight="1">
      <c r="A96" s="19" t="s">
        <v>156</v>
      </c>
      <c r="B96" s="4" t="s">
        <v>157</v>
      </c>
      <c r="C96" s="4" t="s">
        <v>158</v>
      </c>
      <c r="D96" s="3" t="s">
        <v>104</v>
      </c>
      <c r="E96" s="3" t="s">
        <v>268</v>
      </c>
      <c r="F96" s="5">
        <v>41304</v>
      </c>
      <c r="G96" s="5">
        <v>42398</v>
      </c>
      <c r="H96" s="6" t="s">
        <v>4</v>
      </c>
      <c r="I96" s="7">
        <v>5485.8</v>
      </c>
      <c r="J96" s="7">
        <f>-109.71+2303.53</f>
        <v>2193.82</v>
      </c>
      <c r="K96" s="7">
        <f t="shared" si="5"/>
        <v>7679.620000000001</v>
      </c>
      <c r="L96" s="8"/>
    </row>
    <row r="97" spans="1:12" s="9" customFormat="1" ht="24.75" customHeight="1">
      <c r="A97" s="19" t="s">
        <v>237</v>
      </c>
      <c r="B97" s="4" t="s">
        <v>238</v>
      </c>
      <c r="C97" s="4" t="s">
        <v>239</v>
      </c>
      <c r="D97" s="3" t="s">
        <v>104</v>
      </c>
      <c r="E97" s="3" t="s">
        <v>268</v>
      </c>
      <c r="F97" s="5">
        <v>41183</v>
      </c>
      <c r="G97" s="5">
        <v>42277</v>
      </c>
      <c r="H97" s="6" t="s">
        <v>4</v>
      </c>
      <c r="I97" s="7">
        <v>5485.8</v>
      </c>
      <c r="J97" s="7">
        <f>-109.71+2303.52</f>
        <v>2193.81</v>
      </c>
      <c r="K97" s="7">
        <f t="shared" si="5"/>
        <v>7679.610000000001</v>
      </c>
      <c r="L97" s="8"/>
    </row>
    <row r="98" spans="1:12" s="9" customFormat="1" ht="24.75" customHeight="1">
      <c r="A98" s="19" t="s">
        <v>209</v>
      </c>
      <c r="B98" s="4" t="s">
        <v>210</v>
      </c>
      <c r="C98" s="4" t="s">
        <v>211</v>
      </c>
      <c r="D98" s="3" t="s">
        <v>104</v>
      </c>
      <c r="E98" s="3" t="s">
        <v>268</v>
      </c>
      <c r="F98" s="5">
        <v>40626</v>
      </c>
      <c r="G98" s="5">
        <v>41721</v>
      </c>
      <c r="H98" s="6" t="s">
        <v>4</v>
      </c>
      <c r="I98" s="7">
        <v>5485.8</v>
      </c>
      <c r="J98" s="7">
        <f>-109.71+2303.52</f>
        <v>2193.81</v>
      </c>
      <c r="K98" s="7">
        <f t="shared" si="5"/>
        <v>7679.610000000001</v>
      </c>
      <c r="L98" s="8"/>
    </row>
    <row r="99" spans="1:12" s="9" customFormat="1" ht="24.75" customHeight="1">
      <c r="A99" s="19" t="s">
        <v>207</v>
      </c>
      <c r="B99" s="4" t="s">
        <v>172</v>
      </c>
      <c r="C99" s="4" t="s">
        <v>208</v>
      </c>
      <c r="D99" s="3" t="s">
        <v>104</v>
      </c>
      <c r="E99" s="3" t="s">
        <v>268</v>
      </c>
      <c r="F99" s="5">
        <v>40280</v>
      </c>
      <c r="G99" s="5">
        <v>41375</v>
      </c>
      <c r="H99" s="6">
        <v>0.7</v>
      </c>
      <c r="I99" s="7">
        <v>1250.87</v>
      </c>
      <c r="J99" s="7">
        <f>-9.39-15.63+525.26</f>
        <v>500.24</v>
      </c>
      <c r="K99" s="7">
        <f t="shared" si="5"/>
        <v>1751.11</v>
      </c>
      <c r="L99" s="8"/>
    </row>
    <row r="100" spans="1:12" s="9" customFormat="1" ht="24.75" customHeight="1">
      <c r="A100" s="19" t="s">
        <v>207</v>
      </c>
      <c r="B100" s="4" t="s">
        <v>172</v>
      </c>
      <c r="C100" s="4" t="s">
        <v>208</v>
      </c>
      <c r="D100" s="3" t="s">
        <v>104</v>
      </c>
      <c r="E100" s="3" t="s">
        <v>268</v>
      </c>
      <c r="F100" s="5">
        <v>41407</v>
      </c>
      <c r="G100" s="5">
        <v>41608</v>
      </c>
      <c r="H100" s="6">
        <v>0.7</v>
      </c>
      <c r="I100" s="7">
        <v>2048.04</v>
      </c>
      <c r="J100" s="7">
        <v>687.52</v>
      </c>
      <c r="K100" s="7">
        <f t="shared" si="5"/>
        <v>2735.56</v>
      </c>
      <c r="L100" s="8"/>
    </row>
    <row r="101" spans="1:12" s="67" customFormat="1" ht="24.75" customHeight="1">
      <c r="A101" s="61"/>
      <c r="B101" s="62" t="s">
        <v>305</v>
      </c>
      <c r="C101" s="63"/>
      <c r="D101" s="63"/>
      <c r="E101" s="63"/>
      <c r="F101" s="63"/>
      <c r="G101" s="63"/>
      <c r="H101" s="64"/>
      <c r="I101" s="65">
        <f>SUM(I92:I100)</f>
        <v>37871.920000000006</v>
      </c>
      <c r="J101" s="65">
        <f>SUM(J92:J100)</f>
        <v>15062.579999999998</v>
      </c>
      <c r="K101" s="65">
        <f>SUM(K92:K100)</f>
        <v>52934.5</v>
      </c>
      <c r="L101" s="66"/>
    </row>
    <row r="102" spans="1:12" s="9" customFormat="1" ht="24.75" customHeight="1">
      <c r="A102" s="19" t="s">
        <v>24</v>
      </c>
      <c r="B102" s="4" t="s">
        <v>25</v>
      </c>
      <c r="C102" s="4" t="s">
        <v>26</v>
      </c>
      <c r="D102" s="3" t="s">
        <v>27</v>
      </c>
      <c r="E102" s="3" t="s">
        <v>266</v>
      </c>
      <c r="F102" s="5">
        <v>41309</v>
      </c>
      <c r="G102" s="5">
        <v>41854</v>
      </c>
      <c r="H102" s="6" t="s">
        <v>4</v>
      </c>
      <c r="I102" s="7">
        <v>7578.96</v>
      </c>
      <c r="J102" s="7">
        <f>-137.91+0.31+3140.41</f>
        <v>3002.81</v>
      </c>
      <c r="K102" s="7">
        <f>I102+J102</f>
        <v>10581.77</v>
      </c>
      <c r="L102" s="30" t="s">
        <v>292</v>
      </c>
    </row>
    <row r="103" spans="1:12" s="67" customFormat="1" ht="24.75" customHeight="1">
      <c r="A103" s="61"/>
      <c r="B103" s="62" t="s">
        <v>306</v>
      </c>
      <c r="C103" s="63"/>
      <c r="D103" s="63"/>
      <c r="E103" s="63"/>
      <c r="F103" s="63"/>
      <c r="G103" s="63"/>
      <c r="H103" s="64"/>
      <c r="I103" s="65">
        <f>SUM(I102)</f>
        <v>7578.96</v>
      </c>
      <c r="J103" s="65">
        <f>SUM(J102)</f>
        <v>3002.81</v>
      </c>
      <c r="K103" s="65">
        <f>SUM(K102)</f>
        <v>10581.77</v>
      </c>
      <c r="L103" s="66"/>
    </row>
    <row r="65523" ht="12.75">
      <c r="I65523" s="7"/>
    </row>
  </sheetData>
  <sheetProtection/>
  <mergeCells count="15">
    <mergeCell ref="B103:H103"/>
    <mergeCell ref="G1:G2"/>
    <mergeCell ref="H1:H2"/>
    <mergeCell ref="B10:H10"/>
    <mergeCell ref="B84:H84"/>
    <mergeCell ref="B91:H91"/>
    <mergeCell ref="B101:H101"/>
    <mergeCell ref="L1:L2"/>
    <mergeCell ref="E1:E2"/>
    <mergeCell ref="F1:F2"/>
    <mergeCell ref="A1:A2"/>
    <mergeCell ref="B1:B2"/>
    <mergeCell ref="C1:C2"/>
    <mergeCell ref="D1:D2"/>
    <mergeCell ref="I1:K1"/>
  </mergeCells>
  <printOptions/>
  <pageMargins left="0.17" right="0.17" top="0.25" bottom="0.28" header="0.23" footer="0.28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F15" sqref="F15"/>
    </sheetView>
  </sheetViews>
  <sheetFormatPr defaultColWidth="9.140625" defaultRowHeight="12.75"/>
  <cols>
    <col min="3" max="3" width="3.57421875" style="0" customWidth="1"/>
    <col min="4" max="6" width="20.7109375" style="0" customWidth="1"/>
  </cols>
  <sheetData>
    <row r="1" spans="1:8" ht="24.75" customHeight="1">
      <c r="A1" s="58" t="s">
        <v>312</v>
      </c>
      <c r="B1" s="59"/>
      <c r="C1" s="59"/>
      <c r="D1" s="59"/>
      <c r="E1" s="59"/>
      <c r="F1" s="59"/>
      <c r="G1" s="41"/>
      <c r="H1" s="41"/>
    </row>
    <row r="2" spans="1:6" ht="12.75">
      <c r="A2" s="42"/>
      <c r="B2" s="42"/>
      <c r="C2" s="42"/>
      <c r="D2" s="42"/>
      <c r="E2" s="42"/>
      <c r="F2" s="42"/>
    </row>
    <row r="3" spans="1:6" ht="33" customHeight="1">
      <c r="A3" s="43"/>
      <c r="B3" s="44"/>
      <c r="C3" s="44"/>
      <c r="D3" s="45" t="s">
        <v>276</v>
      </c>
      <c r="E3" s="45" t="s">
        <v>277</v>
      </c>
      <c r="F3" s="45" t="s">
        <v>278</v>
      </c>
    </row>
    <row r="4" spans="1:6" ht="9.75" customHeight="1">
      <c r="A4" s="60"/>
      <c r="B4" s="60"/>
      <c r="C4" s="60"/>
      <c r="D4" s="60"/>
      <c r="E4" s="60"/>
      <c r="F4" s="60"/>
    </row>
    <row r="5" spans="1:6" ht="24.75" customHeight="1">
      <c r="A5" s="54" t="s">
        <v>307</v>
      </c>
      <c r="B5" s="55"/>
      <c r="C5" s="44"/>
      <c r="D5" s="46">
        <v>21347.71</v>
      </c>
      <c r="E5" s="46">
        <v>8265.6</v>
      </c>
      <c r="F5" s="46">
        <f>SUM(D5:E5)</f>
        <v>29613.309999999998</v>
      </c>
    </row>
    <row r="6" spans="1:6" ht="9.75" customHeight="1">
      <c r="A6" s="56"/>
      <c r="B6" s="56"/>
      <c r="C6" s="56"/>
      <c r="D6" s="56"/>
      <c r="E6" s="56"/>
      <c r="F6" s="56"/>
    </row>
    <row r="7" spans="1:6" ht="24.75" customHeight="1">
      <c r="A7" s="54" t="s">
        <v>308</v>
      </c>
      <c r="B7" s="55"/>
      <c r="C7" s="44"/>
      <c r="D7" s="46">
        <v>297043.46</v>
      </c>
      <c r="E7" s="46">
        <v>117625.12</v>
      </c>
      <c r="F7" s="46">
        <f>SUM(D7:E7)</f>
        <v>414668.58</v>
      </c>
    </row>
    <row r="8" spans="1:6" ht="9.75" customHeight="1">
      <c r="A8" s="56"/>
      <c r="B8" s="56"/>
      <c r="C8" s="56"/>
      <c r="D8" s="56"/>
      <c r="E8" s="56"/>
      <c r="F8" s="56"/>
    </row>
    <row r="9" spans="1:6" ht="24.75" customHeight="1">
      <c r="A9" s="54" t="s">
        <v>309</v>
      </c>
      <c r="B9" s="55"/>
      <c r="C9" s="44"/>
      <c r="D9" s="46">
        <v>37871.92</v>
      </c>
      <c r="E9" s="46">
        <v>15062.58</v>
      </c>
      <c r="F9" s="46">
        <f>SUM(D9:E9)</f>
        <v>52934.5</v>
      </c>
    </row>
    <row r="10" spans="1:6" ht="9.75" customHeight="1">
      <c r="A10" s="56"/>
      <c r="B10" s="56"/>
      <c r="C10" s="56"/>
      <c r="D10" s="56"/>
      <c r="E10" s="56"/>
      <c r="F10" s="56"/>
    </row>
    <row r="11" spans="1:6" ht="24.75" customHeight="1">
      <c r="A11" s="54" t="s">
        <v>310</v>
      </c>
      <c r="B11" s="55"/>
      <c r="C11" s="44"/>
      <c r="D11" s="46">
        <v>7578.96</v>
      </c>
      <c r="E11" s="46">
        <v>3002.81</v>
      </c>
      <c r="F11" s="46">
        <f>SUM(D11:E11)</f>
        <v>10581.77</v>
      </c>
    </row>
    <row r="12" spans="1:6" ht="9.75" customHeight="1">
      <c r="A12" s="56"/>
      <c r="B12" s="56"/>
      <c r="C12" s="56"/>
      <c r="D12" s="56"/>
      <c r="E12" s="56"/>
      <c r="F12" s="56"/>
    </row>
    <row r="13" spans="1:6" ht="24.75" customHeight="1">
      <c r="A13" s="54" t="s">
        <v>264</v>
      </c>
      <c r="B13" s="55"/>
      <c r="C13" s="44"/>
      <c r="D13" s="46">
        <v>24096.84</v>
      </c>
      <c r="E13" s="46">
        <v>7382.67</v>
      </c>
      <c r="F13" s="46">
        <f>SUM(D13:E13)</f>
        <v>31479.510000000002</v>
      </c>
    </row>
    <row r="14" spans="1:6" ht="9.75" customHeight="1">
      <c r="A14" s="57"/>
      <c r="B14" s="57"/>
      <c r="C14" s="57"/>
      <c r="D14" s="57"/>
      <c r="E14" s="57"/>
      <c r="F14" s="57"/>
    </row>
    <row r="15" spans="1:6" ht="24.75" customHeight="1">
      <c r="A15" s="52" t="s">
        <v>311</v>
      </c>
      <c r="B15" s="53"/>
      <c r="D15" s="47">
        <f>SUM(D5,D7,D9,D11,D13)</f>
        <v>387938.8900000001</v>
      </c>
      <c r="E15" s="47">
        <f>SUM(E5,E7,E9,E11,E13)</f>
        <v>151338.78</v>
      </c>
      <c r="F15" s="47">
        <f>SUM(F5,F7,F9,F11,F13)</f>
        <v>539277.67</v>
      </c>
    </row>
  </sheetData>
  <mergeCells count="13">
    <mergeCell ref="A1:F1"/>
    <mergeCell ref="A4:F4"/>
    <mergeCell ref="A5:B5"/>
    <mergeCell ref="A6:F6"/>
    <mergeCell ref="A7:B7"/>
    <mergeCell ref="A8:F8"/>
    <mergeCell ref="A9:B9"/>
    <mergeCell ref="A10:F10"/>
    <mergeCell ref="A15:B15"/>
    <mergeCell ref="A11:B11"/>
    <mergeCell ref="A12:F12"/>
    <mergeCell ref="A13:B13"/>
    <mergeCell ref="A14:F1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2014-07-11T10:08:45Z</cp:lastPrinted>
  <dcterms:created xsi:type="dcterms:W3CDTF">2013-11-14T15:38:04Z</dcterms:created>
  <dcterms:modified xsi:type="dcterms:W3CDTF">2014-07-11T10:08:47Z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