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Richiesta costo P T D per trasp" sheetId="1" r:id="rId1"/>
    <sheet name="Riepilogo Costi" sheetId="2" r:id="rId2"/>
  </sheets>
  <definedNames>
    <definedName name="DATABASE">'Richiesta costo P T D per trasp'!$A$2:$H$104</definedName>
    <definedName name="_xlnm.Print_Titles" localSheetId="0">'Richiesta costo P T D per trasp'!$1:$2</definedName>
  </definedNames>
  <calcPr fullCalcOnLoad="1"/>
</workbook>
</file>

<file path=xl/comments1.xml><?xml version="1.0" encoding="utf-8"?>
<comments xmlns="http://schemas.openxmlformats.org/spreadsheetml/2006/main">
  <authors>
    <author>Monia</author>
  </authors>
  <commentList>
    <comment ref="H24" authorId="0">
      <text>
        <r>
          <rPr>
            <sz val="8"/>
            <rFont val="Tahoma"/>
            <family val="2"/>
          </rPr>
          <t xml:space="preserve">valorizzata dal personale perc. 100 invece che 70
</t>
        </r>
      </text>
    </comment>
  </commentList>
</comments>
</file>

<file path=xl/sharedStrings.xml><?xml version="1.0" encoding="utf-8"?>
<sst xmlns="http://schemas.openxmlformats.org/spreadsheetml/2006/main" count="628" uniqueCount="311">
  <si>
    <t>COGNOME</t>
  </si>
  <si>
    <t>NOME</t>
  </si>
  <si>
    <t>INI_RAP</t>
  </si>
  <si>
    <t>FIN_RAP</t>
  </si>
  <si>
    <t>PERC_PT</t>
  </si>
  <si>
    <t>012621</t>
  </si>
  <si>
    <t>MASSARELLI</t>
  </si>
  <si>
    <t>MASSIMILIANO</t>
  </si>
  <si>
    <t>C</t>
  </si>
  <si>
    <t>100</t>
  </si>
  <si>
    <t>005967</t>
  </si>
  <si>
    <t>MATTEUCCI</t>
  </si>
  <si>
    <t>Caterina</t>
  </si>
  <si>
    <t>EP</t>
  </si>
  <si>
    <t>012671</t>
  </si>
  <si>
    <t>GUASTALVINO</t>
  </si>
  <si>
    <t>BARBARA</t>
  </si>
  <si>
    <t>009808</t>
  </si>
  <si>
    <t>STELLA</t>
  </si>
  <si>
    <t>Maria Francesca</t>
  </si>
  <si>
    <t>012627</t>
  </si>
  <si>
    <t>BUCO</t>
  </si>
  <si>
    <t>FRANCESCA</t>
  </si>
  <si>
    <t>012647</t>
  </si>
  <si>
    <t>BIAGINO</t>
  </si>
  <si>
    <t>ARIANNA</t>
  </si>
  <si>
    <t>006622</t>
  </si>
  <si>
    <t>BERNARDI</t>
  </si>
  <si>
    <t>Manuela</t>
  </si>
  <si>
    <t>012395</t>
  </si>
  <si>
    <t>BAROLA</t>
  </si>
  <si>
    <t>SILVIA</t>
  </si>
  <si>
    <t>012396</t>
  </si>
  <si>
    <t>PERSICHINI</t>
  </si>
  <si>
    <t>LETIZIA</t>
  </si>
  <si>
    <t>007439</t>
  </si>
  <si>
    <t>TIBIDO'</t>
  </si>
  <si>
    <t>Claudia</t>
  </si>
  <si>
    <t>010879</t>
  </si>
  <si>
    <t>SASSI</t>
  </si>
  <si>
    <t>Raffaella</t>
  </si>
  <si>
    <t>010886</t>
  </si>
  <si>
    <t>BIZZARRI</t>
  </si>
  <si>
    <t>Daniela</t>
  </si>
  <si>
    <t>010593</t>
  </si>
  <si>
    <t>BRINDISI</t>
  </si>
  <si>
    <t>008989</t>
  </si>
  <si>
    <t>RAGNI</t>
  </si>
  <si>
    <t>Roberta</t>
  </si>
  <si>
    <t>007724</t>
  </si>
  <si>
    <t>POLVERINI</t>
  </si>
  <si>
    <t>Maria Angela</t>
  </si>
  <si>
    <t>010807</t>
  </si>
  <si>
    <t>FIORELLA</t>
  </si>
  <si>
    <t>ROBERTO</t>
  </si>
  <si>
    <t>009754</t>
  </si>
  <si>
    <t>BIAGETTI</t>
  </si>
  <si>
    <t>Andrea</t>
  </si>
  <si>
    <t>010890</t>
  </si>
  <si>
    <t>ROMANO</t>
  </si>
  <si>
    <t>Maria Elisa</t>
  </si>
  <si>
    <t>010911</t>
  </si>
  <si>
    <t>ROSSI</t>
  </si>
  <si>
    <t>ROBERTA</t>
  </si>
  <si>
    <t>009853</t>
  </si>
  <si>
    <t>ALESSANDRI</t>
  </si>
  <si>
    <t>Giuseppina</t>
  </si>
  <si>
    <t>B</t>
  </si>
  <si>
    <t>010695</t>
  </si>
  <si>
    <t>CATALUCCI</t>
  </si>
  <si>
    <t>Francesca</t>
  </si>
  <si>
    <t>012287</t>
  </si>
  <si>
    <t>CORNELI</t>
  </si>
  <si>
    <t>Riccardo</t>
  </si>
  <si>
    <t>006330</t>
  </si>
  <si>
    <t>PEDUCCI</t>
  </si>
  <si>
    <t>Monia</t>
  </si>
  <si>
    <t>D</t>
  </si>
  <si>
    <t>012075</t>
  </si>
  <si>
    <t>TISSI</t>
  </si>
  <si>
    <t>FRANCESCO</t>
  </si>
  <si>
    <t>011834</t>
  </si>
  <si>
    <t>BASTIANINI</t>
  </si>
  <si>
    <t>CLAUDIA</t>
  </si>
  <si>
    <t>008930</t>
  </si>
  <si>
    <t>GUARDABASSI</t>
  </si>
  <si>
    <t>Laura</t>
  </si>
  <si>
    <t>012303</t>
  </si>
  <si>
    <t>AMATO</t>
  </si>
  <si>
    <t>SANDRO</t>
  </si>
  <si>
    <t>012302</t>
  </si>
  <si>
    <t>ALESSANDRINI</t>
  </si>
  <si>
    <t>ANTONELLA</t>
  </si>
  <si>
    <t>003517</t>
  </si>
  <si>
    <t>CASTELLANI</t>
  </si>
  <si>
    <t>Lorella</t>
  </si>
  <si>
    <t>009443</t>
  </si>
  <si>
    <t>PASQUA</t>
  </si>
  <si>
    <t>Stefano</t>
  </si>
  <si>
    <t>012254</t>
  </si>
  <si>
    <t>PASSERI</t>
  </si>
  <si>
    <t>STEFANIA</t>
  </si>
  <si>
    <t>009413</t>
  </si>
  <si>
    <t>MELONI</t>
  </si>
  <si>
    <t>008853</t>
  </si>
  <si>
    <t>SEBASTIANI</t>
  </si>
  <si>
    <t>RICCARDO</t>
  </si>
  <si>
    <t>008992</t>
  </si>
  <si>
    <t>MARTORANA</t>
  </si>
  <si>
    <t>Sabrina</t>
  </si>
  <si>
    <t>012284</t>
  </si>
  <si>
    <t>MOCAN</t>
  </si>
  <si>
    <t>Teodora Codruta</t>
  </si>
  <si>
    <t>004896</t>
  </si>
  <si>
    <t>CECCHETTI</t>
  </si>
  <si>
    <t>009580</t>
  </si>
  <si>
    <t>VESCARELLI</t>
  </si>
  <si>
    <t>Elisabetta</t>
  </si>
  <si>
    <t>008393</t>
  </si>
  <si>
    <t>PRINCIPI</t>
  </si>
  <si>
    <t>Massimiliano</t>
  </si>
  <si>
    <t>007190</t>
  </si>
  <si>
    <t>BOCCIOLI</t>
  </si>
  <si>
    <t>Elena</t>
  </si>
  <si>
    <t>011896</t>
  </si>
  <si>
    <t>DATTINI</t>
  </si>
  <si>
    <t>Valentina</t>
  </si>
  <si>
    <t>011904</t>
  </si>
  <si>
    <t>MAFFIA</t>
  </si>
  <si>
    <t>LEONARDA ROSARIA</t>
  </si>
  <si>
    <t>007944</t>
  </si>
  <si>
    <t>ROSSINI</t>
  </si>
  <si>
    <t>011881</t>
  </si>
  <si>
    <t>AGLIETTI</t>
  </si>
  <si>
    <t>PATRIZIA</t>
  </si>
  <si>
    <t>013177</t>
  </si>
  <si>
    <t>MARTELLI</t>
  </si>
  <si>
    <t>VALENTINA</t>
  </si>
  <si>
    <t>013178</t>
  </si>
  <si>
    <t>FAGUGLI</t>
  </si>
  <si>
    <t>ALESSANDRA</t>
  </si>
  <si>
    <t>013193</t>
  </si>
  <si>
    <t>PALAZZO</t>
  </si>
  <si>
    <t>GIUSEPPE</t>
  </si>
  <si>
    <t>013194</t>
  </si>
  <si>
    <t>GIULIETTI</t>
  </si>
  <si>
    <t>FABRIZIO</t>
  </si>
  <si>
    <t>013212</t>
  </si>
  <si>
    <t>MARIANI</t>
  </si>
  <si>
    <t>DANIELE</t>
  </si>
  <si>
    <t>012848</t>
  </si>
  <si>
    <t>ALBANESE</t>
  </si>
  <si>
    <t>MARIA</t>
  </si>
  <si>
    <t>012850</t>
  </si>
  <si>
    <t>MILLETTI</t>
  </si>
  <si>
    <t>ILARIA</t>
  </si>
  <si>
    <t>012851</t>
  </si>
  <si>
    <t>ARBA</t>
  </si>
  <si>
    <t>012849</t>
  </si>
  <si>
    <t>BEI</t>
  </si>
  <si>
    <t>ALESSANDRO</t>
  </si>
  <si>
    <t>012852</t>
  </si>
  <si>
    <t>FABRIS</t>
  </si>
  <si>
    <t>TATJANA</t>
  </si>
  <si>
    <t>009467</t>
  </si>
  <si>
    <t>FELICINI</t>
  </si>
  <si>
    <t>012913</t>
  </si>
  <si>
    <t>SILVI</t>
  </si>
  <si>
    <t>CRISTINA</t>
  </si>
  <si>
    <t>007097</t>
  </si>
  <si>
    <t>FALBO</t>
  </si>
  <si>
    <t>Stefania</t>
  </si>
  <si>
    <t>011076</t>
  </si>
  <si>
    <t>VOLENTIERA</t>
  </si>
  <si>
    <t>013400</t>
  </si>
  <si>
    <t>PUCA</t>
  </si>
  <si>
    <t>MICHELE</t>
  </si>
  <si>
    <t>011926</t>
  </si>
  <si>
    <t>CHIARA</t>
  </si>
  <si>
    <t>005321</t>
  </si>
  <si>
    <t>MONSURRO'</t>
  </si>
  <si>
    <t>Mariarosaria</t>
  </si>
  <si>
    <t>007537</t>
  </si>
  <si>
    <t>SPACCATINI</t>
  </si>
  <si>
    <t>CRISTIANO</t>
  </si>
  <si>
    <t>011079</t>
  </si>
  <si>
    <t>MORETTI</t>
  </si>
  <si>
    <t>009209</t>
  </si>
  <si>
    <t>OLSEN</t>
  </si>
  <si>
    <t>Gina</t>
  </si>
  <si>
    <t>009760</t>
  </si>
  <si>
    <t>CRUCIANI</t>
  </si>
  <si>
    <t>Diego</t>
  </si>
  <si>
    <t>012315</t>
  </si>
  <si>
    <t>SCARPONI</t>
  </si>
  <si>
    <t>010440</t>
  </si>
  <si>
    <t>POCHINI</t>
  </si>
  <si>
    <t>009586</t>
  </si>
  <si>
    <t>Tatiana</t>
  </si>
  <si>
    <t>012310</t>
  </si>
  <si>
    <t>BOMBARDIERI</t>
  </si>
  <si>
    <t>EMANUELE</t>
  </si>
  <si>
    <t>010162</t>
  </si>
  <si>
    <t>MONTANI</t>
  </si>
  <si>
    <t>Catia</t>
  </si>
  <si>
    <t>009809</t>
  </si>
  <si>
    <t>TIRIMAGNI</t>
  </si>
  <si>
    <t>013714</t>
  </si>
  <si>
    <t>MONTANARI</t>
  </si>
  <si>
    <t>005129</t>
  </si>
  <si>
    <t>ANGELLOTTI</t>
  </si>
  <si>
    <t>011903</t>
  </si>
  <si>
    <t>SCARCHINI</t>
  </si>
  <si>
    <t>ALESSIA</t>
  </si>
  <si>
    <t>013500</t>
  </si>
  <si>
    <t>BOCK</t>
  </si>
  <si>
    <t>URSULA CACILIA</t>
  </si>
  <si>
    <t>007641</t>
  </si>
  <si>
    <t>VIGILANTE</t>
  </si>
  <si>
    <t>009123</t>
  </si>
  <si>
    <t>CELLA</t>
  </si>
  <si>
    <t>Diana</t>
  </si>
  <si>
    <t>009270</t>
  </si>
  <si>
    <t>BOYLE</t>
  </si>
  <si>
    <t>Liam Francis</t>
  </si>
  <si>
    <t>012291</t>
  </si>
  <si>
    <t>TONKS</t>
  </si>
  <si>
    <t>CLARE ELIZABETH</t>
  </si>
  <si>
    <t>012642</t>
  </si>
  <si>
    <t>ALBUQUERQUE DE MOURA TAVARES</t>
  </si>
  <si>
    <t>AMELIA EUNICE</t>
  </si>
  <si>
    <t>012874</t>
  </si>
  <si>
    <t>ONTORIA PENA</t>
  </si>
  <si>
    <t>MERCEDES</t>
  </si>
  <si>
    <t>012875</t>
  </si>
  <si>
    <t>DA SILVA MOURINHA</t>
  </si>
  <si>
    <t>MARISA</t>
  </si>
  <si>
    <t>012876</t>
  </si>
  <si>
    <t>WU</t>
  </si>
  <si>
    <t>QI</t>
  </si>
  <si>
    <t>013181</t>
  </si>
  <si>
    <t>PETTINELLI</t>
  </si>
  <si>
    <t>013211</t>
  </si>
  <si>
    <t>MUGNANI</t>
  </si>
  <si>
    <t>CATIA</t>
  </si>
  <si>
    <t>013498</t>
  </si>
  <si>
    <t>SOLA</t>
  </si>
  <si>
    <t>013501</t>
  </si>
  <si>
    <t>AMBROGI</t>
  </si>
  <si>
    <t>MARUSCA</t>
  </si>
  <si>
    <t>013502</t>
  </si>
  <si>
    <t>POMERANZ</t>
  </si>
  <si>
    <t>DaniÞle</t>
  </si>
  <si>
    <t>CAT.</t>
  </si>
  <si>
    <t>P.E.</t>
  </si>
  <si>
    <t>C1</t>
  </si>
  <si>
    <t>CEL</t>
  </si>
  <si>
    <t>EP1</t>
  </si>
  <si>
    <t>B3</t>
  </si>
  <si>
    <t>D1</t>
  </si>
  <si>
    <t>Lordo
dipendente</t>
  </si>
  <si>
    <t>Oneri C.E.</t>
  </si>
  <si>
    <t>Costo complessivo</t>
  </si>
  <si>
    <t>COSTI STIPENDIALI
TRIMESTRE LUGLIO - SETTEMBRE 2014</t>
  </si>
  <si>
    <t>MATR.</t>
  </si>
  <si>
    <t>Note</t>
  </si>
  <si>
    <t>TFR precedente contratto</t>
  </si>
  <si>
    <t>sottratte trattenute per ore non lavorate di giugno 2014</t>
  </si>
  <si>
    <t>a luglio corrisposte I. A. e XIII^</t>
  </si>
  <si>
    <t>BAGAGLIA</t>
  </si>
  <si>
    <t>Marco</t>
  </si>
  <si>
    <t>BOCCI</t>
  </si>
  <si>
    <t>Alessandro</t>
  </si>
  <si>
    <t>C2</t>
  </si>
  <si>
    <t>importo comprensivo dell'assegno per il nucleo (1.348,03 Euro)</t>
  </si>
  <si>
    <t>importo comprensivo dell'assegno per il nucleo (130,70 Euro)</t>
  </si>
  <si>
    <t>sottratte trattenute per ore non lavorate di luglio 2014</t>
  </si>
  <si>
    <t>sottratte trattenute per ore non lavorate di maggio e giugno 2014</t>
  </si>
  <si>
    <t>importo comprensivo dell'assegno per il nucleo (200,94 Euro)</t>
  </si>
  <si>
    <t>sottratte trattenute per ore non lavorate di maggio e luglio 2014</t>
  </si>
  <si>
    <t>importo comprensivo dell'assegno per il nucleo totale 669,12 di cui: 
-arr.to anno 2013 (265,74)
-conguaglio gen-luglio 2014 (311,62)
-agosto-settembre (91,76 Euro)</t>
  </si>
  <si>
    <t>PERSAMPIERI</t>
  </si>
  <si>
    <t>Tania</t>
  </si>
  <si>
    <t>POZZESI</t>
  </si>
  <si>
    <t>Nicola</t>
  </si>
  <si>
    <t>importo comprensivo dell'assegno per il nucleo (648,24 Euro)</t>
  </si>
  <si>
    <t>importo comprensivo dell'assegno per il nucleo totale 191,08 di cui: 
-conguaglio  maggio-luglio 2014 (98,12)
-agosto-settembre (92,96 Euro)</t>
  </si>
  <si>
    <t>TALLARITA</t>
  </si>
  <si>
    <t>Mario</t>
  </si>
  <si>
    <t>importo comprensivo dell'assegno per il nucleo (189,30 Euro)</t>
  </si>
  <si>
    <t>VALERIO</t>
  </si>
  <si>
    <t>VENTO</t>
  </si>
  <si>
    <t>Simona</t>
  </si>
  <si>
    <t>sottratte trattenute per ore non lavorate di aprile e giugno 2014</t>
  </si>
  <si>
    <t>importo comprensivo della XIII^</t>
  </si>
  <si>
    <t>sottratte trattenute per ore non lavorate di maggio 2014</t>
  </si>
  <si>
    <t>importo comprensivo dell'assegno per il nucleo (319,50 Euro) e sottratte trattenute per ore non lavorate di giugno 2014</t>
  </si>
  <si>
    <t>agosto corrisposta XIII^</t>
  </si>
  <si>
    <t>9 giorni di settembre pagati ad ottobre</t>
  </si>
  <si>
    <t>TOTALE CAT. B</t>
  </si>
  <si>
    <t>TOTALE CAT. C</t>
  </si>
  <si>
    <t>TOTALE CAT. CEL</t>
  </si>
  <si>
    <t>TOTALE CAT. D</t>
  </si>
  <si>
    <t>TOTALE CAT. EP</t>
  </si>
  <si>
    <t>Lordo dipendente</t>
  </si>
  <si>
    <t>CAT. B</t>
  </si>
  <si>
    <t>CAT. C</t>
  </si>
  <si>
    <t>CAT. D</t>
  </si>
  <si>
    <t>CAT. EP</t>
  </si>
  <si>
    <t>TOTALI</t>
  </si>
  <si>
    <t>Personale tecnico-amm.vo e CEL
Costo complessivo trimestre luglio - settembre 2014 (art. 17, c. 2, D. Lgs n. 33/2013)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</si>
</sst>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" fontId="0" fillId="32" borderId="10" xfId="0" applyNumberFormat="1" applyFill="1" applyBorder="1" applyAlignment="1">
      <alignment horizontal="center" wrapText="1"/>
    </xf>
    <xf numFmtId="1" fontId="0" fillId="32" borderId="10" xfId="0" applyNumberFormat="1" applyFill="1" applyBorder="1" applyAlignment="1">
      <alignment wrapText="1"/>
    </xf>
    <xf numFmtId="1" fontId="0" fillId="32" borderId="10" xfId="0" applyNumberFormat="1" applyFill="1" applyBorder="1" applyAlignment="1">
      <alignment horizontal="center" wrapText="1"/>
    </xf>
    <xf numFmtId="14" fontId="0" fillId="32" borderId="10" xfId="0" applyNumberFormat="1" applyFill="1" applyBorder="1" applyAlignment="1">
      <alignment horizontal="center" wrapText="1"/>
    </xf>
    <xf numFmtId="40" fontId="0" fillId="32" borderId="10" xfId="0" applyNumberFormat="1" applyFill="1" applyBorder="1" applyAlignment="1">
      <alignment horizontal="right" wrapText="1"/>
    </xf>
    <xf numFmtId="0" fontId="2" fillId="32" borderId="10" xfId="0" applyFont="1" applyFill="1" applyBorder="1" applyAlignment="1">
      <alignment wrapText="1"/>
    </xf>
    <xf numFmtId="1" fontId="0" fillId="32" borderId="10" xfId="0" applyNumberFormat="1" applyFont="1" applyFill="1" applyBorder="1" applyAlignment="1">
      <alignment wrapText="1"/>
    </xf>
    <xf numFmtId="1" fontId="0" fillId="32" borderId="10" xfId="0" applyNumberFormat="1" applyFont="1" applyFill="1" applyBorder="1" applyAlignment="1">
      <alignment horizontal="center" wrapText="1"/>
    </xf>
    <xf numFmtId="10" fontId="4" fillId="32" borderId="10" xfId="0" applyNumberFormat="1" applyFont="1" applyFill="1" applyBorder="1" applyAlignment="1">
      <alignment horizontal="center" wrapText="1"/>
    </xf>
    <xf numFmtId="10" fontId="0" fillId="32" borderId="10" xfId="0" applyNumberFormat="1" applyFill="1" applyBorder="1" applyAlignment="1">
      <alignment horizontal="center" wrapText="1"/>
    </xf>
    <xf numFmtId="10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wrapText="1"/>
    </xf>
    <xf numFmtId="40" fontId="5" fillId="32" borderId="10" xfId="0" applyNumberFormat="1" applyFont="1" applyFill="1" applyBorder="1" applyAlignment="1">
      <alignment horizontal="right" vertical="center" wrapText="1"/>
    </xf>
    <xf numFmtId="0" fontId="0" fillId="32" borderId="10" xfId="0" applyFill="1" applyBorder="1" applyAlignment="1">
      <alignment wrapText="1"/>
    </xf>
    <xf numFmtId="1" fontId="4" fillId="32" borderId="10" xfId="0" applyNumberFormat="1" applyFont="1" applyFill="1" applyBorder="1" applyAlignment="1">
      <alignment horizontal="center" wrapText="1"/>
    </xf>
    <xf numFmtId="49" fontId="0" fillId="32" borderId="10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0" fontId="1" fillId="33" borderId="10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Border="1" applyAlignment="1">
      <alignment horizontal="right" vertical="center" wrapText="1"/>
    </xf>
    <xf numFmtId="40" fontId="5" fillId="33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 horizontal="center"/>
    </xf>
    <xf numFmtId="10" fontId="0" fillId="32" borderId="10" xfId="0" applyNumberFormat="1" applyFill="1" applyBorder="1" applyAlignment="1">
      <alignment horizontal="center"/>
    </xf>
    <xf numFmtId="40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40" fontId="1" fillId="32" borderId="10" xfId="0" applyNumberFormat="1" applyFont="1" applyFill="1" applyBorder="1" applyAlignment="1">
      <alignment/>
    </xf>
    <xf numFmtId="1" fontId="5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0" fontId="1" fillId="32" borderId="1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Alignment="1">
      <alignment horizontal="center" vertical="center" wrapText="1"/>
    </xf>
    <xf numFmtId="1" fontId="6" fillId="33" borderId="0" xfId="0" applyNumberFormat="1" applyFont="1" applyFill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5" fillId="33" borderId="11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pane ySplit="2" topLeftCell="A48" activePane="bottomLeft" state="frozen"/>
      <selection pane="topLeft" activeCell="A1" sqref="A1"/>
      <selection pane="bottomLeft" activeCell="A1" sqref="A1:A2"/>
    </sheetView>
  </sheetViews>
  <sheetFormatPr defaultColWidth="9.140625" defaultRowHeight="12.75"/>
  <cols>
    <col min="1" max="1" width="7.7109375" style="26" customWidth="1"/>
    <col min="2" max="2" width="18.421875" style="27" customWidth="1"/>
    <col min="3" max="3" width="20.28125" style="27" bestFit="1" customWidth="1"/>
    <col min="4" max="4" width="5.28125" style="26" bestFit="1" customWidth="1"/>
    <col min="5" max="5" width="4.57421875" style="26" customWidth="1"/>
    <col min="6" max="7" width="11.140625" style="28" customWidth="1"/>
    <col min="8" max="8" width="10.57421875" style="29" customWidth="1"/>
    <col min="9" max="11" width="15.00390625" style="31" customWidth="1"/>
    <col min="12" max="12" width="39.140625" style="14" customWidth="1"/>
    <col min="13" max="16384" width="9.140625" style="31" customWidth="1"/>
  </cols>
  <sheetData>
    <row r="1" spans="1:12" s="24" customFormat="1" ht="24.75" customHeight="1">
      <c r="A1" s="35" t="s">
        <v>264</v>
      </c>
      <c r="B1" s="35" t="s">
        <v>0</v>
      </c>
      <c r="C1" s="35" t="s">
        <v>1</v>
      </c>
      <c r="D1" s="35" t="s">
        <v>253</v>
      </c>
      <c r="E1" s="35" t="s">
        <v>254</v>
      </c>
      <c r="F1" s="34" t="s">
        <v>2</v>
      </c>
      <c r="G1" s="34" t="s">
        <v>3</v>
      </c>
      <c r="H1" s="36" t="s">
        <v>4</v>
      </c>
      <c r="I1" s="34" t="s">
        <v>263</v>
      </c>
      <c r="J1" s="34"/>
      <c r="K1" s="34"/>
      <c r="L1" s="34" t="s">
        <v>265</v>
      </c>
    </row>
    <row r="2" spans="1:12" s="24" customFormat="1" ht="25.5">
      <c r="A2" s="35"/>
      <c r="B2" s="35"/>
      <c r="C2" s="35"/>
      <c r="D2" s="35"/>
      <c r="E2" s="35"/>
      <c r="F2" s="34"/>
      <c r="G2" s="34"/>
      <c r="H2" s="36"/>
      <c r="I2" s="11" t="s">
        <v>260</v>
      </c>
      <c r="J2" s="11" t="s">
        <v>261</v>
      </c>
      <c r="K2" s="11" t="s">
        <v>262</v>
      </c>
      <c r="L2" s="34"/>
    </row>
    <row r="3" spans="1:12" s="14" customFormat="1" ht="12.75">
      <c r="A3" s="1" t="s">
        <v>64</v>
      </c>
      <c r="B3" s="2" t="s">
        <v>65</v>
      </c>
      <c r="C3" s="2" t="s">
        <v>66</v>
      </c>
      <c r="D3" s="1" t="s">
        <v>67</v>
      </c>
      <c r="E3" s="1" t="s">
        <v>258</v>
      </c>
      <c r="F3" s="4">
        <v>41767</v>
      </c>
      <c r="G3" s="4">
        <v>42497</v>
      </c>
      <c r="H3" s="10" t="s">
        <v>9</v>
      </c>
      <c r="I3" s="5">
        <v>5333.8</v>
      </c>
      <c r="J3" s="5">
        <f>-106.67+2239.66</f>
        <v>2132.99</v>
      </c>
      <c r="K3" s="5">
        <f aca="true" t="shared" si="0" ref="K3:K8">I3+J3</f>
        <v>7466.79</v>
      </c>
      <c r="L3" s="6"/>
    </row>
    <row r="4" spans="1:12" s="14" customFormat="1" ht="12.75">
      <c r="A4" s="3" t="s">
        <v>64</v>
      </c>
      <c r="B4" s="2" t="s">
        <v>65</v>
      </c>
      <c r="C4" s="2" t="s">
        <v>66</v>
      </c>
      <c r="D4" s="3" t="s">
        <v>67</v>
      </c>
      <c r="E4" s="3" t="s">
        <v>258</v>
      </c>
      <c r="F4" s="4">
        <v>41372</v>
      </c>
      <c r="G4" s="4">
        <v>41698</v>
      </c>
      <c r="H4" s="10" t="s">
        <v>9</v>
      </c>
      <c r="I4" s="5">
        <v>1344.88</v>
      </c>
      <c r="J4" s="5">
        <v>0.38</v>
      </c>
      <c r="K4" s="5">
        <f t="shared" si="0"/>
        <v>1345.2600000000002</v>
      </c>
      <c r="L4" s="6" t="s">
        <v>266</v>
      </c>
    </row>
    <row r="5" spans="1:12" s="14" customFormat="1" ht="12.75">
      <c r="A5" s="1" t="s">
        <v>90</v>
      </c>
      <c r="B5" s="2" t="s">
        <v>91</v>
      </c>
      <c r="C5" s="2" t="s">
        <v>92</v>
      </c>
      <c r="D5" s="1" t="s">
        <v>67</v>
      </c>
      <c r="E5" s="1" t="s">
        <v>258</v>
      </c>
      <c r="F5" s="4">
        <v>41435</v>
      </c>
      <c r="G5" s="4">
        <v>42164</v>
      </c>
      <c r="H5" s="10">
        <v>0.7</v>
      </c>
      <c r="I5" s="5">
        <v>4032.22</v>
      </c>
      <c r="J5" s="5">
        <f>-80.65+1693.13</f>
        <v>1612.48</v>
      </c>
      <c r="K5" s="5">
        <f t="shared" si="0"/>
        <v>5644.7</v>
      </c>
      <c r="L5" s="6"/>
    </row>
    <row r="6" spans="1:12" s="14" customFormat="1" ht="12.75">
      <c r="A6" s="1" t="s">
        <v>214</v>
      </c>
      <c r="B6" s="2" t="s">
        <v>215</v>
      </c>
      <c r="C6" s="2" t="s">
        <v>216</v>
      </c>
      <c r="D6" s="1" t="s">
        <v>67</v>
      </c>
      <c r="E6" s="1" t="s">
        <v>258</v>
      </c>
      <c r="F6" s="4">
        <v>41522</v>
      </c>
      <c r="G6" s="4">
        <v>42617</v>
      </c>
      <c r="H6" s="10">
        <v>0.5</v>
      </c>
      <c r="I6" s="5">
        <v>2880.18</v>
      </c>
      <c r="J6" s="5">
        <v>967.34</v>
      </c>
      <c r="K6" s="5">
        <f t="shared" si="0"/>
        <v>3847.52</v>
      </c>
      <c r="L6" s="12"/>
    </row>
    <row r="7" spans="1:12" s="14" customFormat="1" ht="12.75">
      <c r="A7" s="1" t="s">
        <v>102</v>
      </c>
      <c r="B7" s="2" t="s">
        <v>103</v>
      </c>
      <c r="C7" s="2" t="s">
        <v>70</v>
      </c>
      <c r="D7" s="1" t="s">
        <v>67</v>
      </c>
      <c r="E7" s="1" t="s">
        <v>258</v>
      </c>
      <c r="F7" s="4">
        <v>40788</v>
      </c>
      <c r="G7" s="4">
        <v>41883</v>
      </c>
      <c r="H7" s="10" t="s">
        <v>9</v>
      </c>
      <c r="I7" s="5">
        <v>3884.07</v>
      </c>
      <c r="J7" s="5">
        <f>1710.89-77.68</f>
        <v>1633.21</v>
      </c>
      <c r="K7" s="5">
        <f t="shared" si="0"/>
        <v>5517.280000000001</v>
      </c>
      <c r="L7" s="12"/>
    </row>
    <row r="8" spans="1:12" s="14" customFormat="1" ht="12.75">
      <c r="A8" s="1" t="s">
        <v>179</v>
      </c>
      <c r="B8" s="2" t="s">
        <v>180</v>
      </c>
      <c r="C8" s="2" t="s">
        <v>181</v>
      </c>
      <c r="D8" s="1" t="s">
        <v>67</v>
      </c>
      <c r="E8" s="1" t="s">
        <v>258</v>
      </c>
      <c r="F8" s="4">
        <v>41213</v>
      </c>
      <c r="G8" s="4">
        <v>42307</v>
      </c>
      <c r="H8" s="10">
        <v>0.5555</v>
      </c>
      <c r="I8" s="5">
        <v>3199.85</v>
      </c>
      <c r="J8" s="5">
        <f>1343.6-63.98</f>
        <v>1279.62</v>
      </c>
      <c r="K8" s="5">
        <f t="shared" si="0"/>
        <v>4479.469999999999</v>
      </c>
      <c r="L8" s="6"/>
    </row>
    <row r="9" spans="1:12" s="14" customFormat="1" ht="24.75" customHeight="1">
      <c r="A9" s="33" t="s">
        <v>299</v>
      </c>
      <c r="B9" s="33"/>
      <c r="C9" s="33"/>
      <c r="D9" s="33"/>
      <c r="E9" s="33"/>
      <c r="F9" s="33"/>
      <c r="G9" s="33"/>
      <c r="H9" s="33"/>
      <c r="I9" s="13">
        <f>SUM(I3:I8)</f>
        <v>20675</v>
      </c>
      <c r="J9" s="13">
        <f>SUM(J3:J8)</f>
        <v>7626.0199999999995</v>
      </c>
      <c r="K9" s="13">
        <f>SUM(K3:K8)</f>
        <v>28301.020000000004</v>
      </c>
      <c r="L9" s="6"/>
    </row>
    <row r="10" spans="1:12" s="14" customFormat="1" ht="12.75">
      <c r="A10" s="1" t="s">
        <v>132</v>
      </c>
      <c r="B10" s="2" t="s">
        <v>133</v>
      </c>
      <c r="C10" s="2" t="s">
        <v>134</v>
      </c>
      <c r="D10" s="1" t="s">
        <v>8</v>
      </c>
      <c r="E10" s="1" t="s">
        <v>255</v>
      </c>
      <c r="F10" s="4">
        <v>41477</v>
      </c>
      <c r="G10" s="4">
        <v>42572</v>
      </c>
      <c r="H10" s="10" t="s">
        <v>9</v>
      </c>
      <c r="I10" s="5">
        <v>6309.38</v>
      </c>
      <c r="J10" s="5">
        <f>-126.65+0.46+2658.68</f>
        <v>2532.49</v>
      </c>
      <c r="K10" s="5">
        <f aca="true" t="shared" si="1" ref="K10:K41">I10+J10</f>
        <v>8841.869999999999</v>
      </c>
      <c r="L10" s="6"/>
    </row>
    <row r="11" spans="1:12" s="14" customFormat="1" ht="12.75">
      <c r="A11" s="1" t="s">
        <v>150</v>
      </c>
      <c r="B11" s="2" t="s">
        <v>151</v>
      </c>
      <c r="C11" s="2" t="s">
        <v>152</v>
      </c>
      <c r="D11" s="1" t="s">
        <v>8</v>
      </c>
      <c r="E11" s="1" t="s">
        <v>255</v>
      </c>
      <c r="F11" s="4">
        <v>41137</v>
      </c>
      <c r="G11" s="4">
        <v>42231</v>
      </c>
      <c r="H11" s="10" t="s">
        <v>9</v>
      </c>
      <c r="I11" s="5">
        <v>5894.56</v>
      </c>
      <c r="J11" s="5">
        <f>-126.65+8.03+0.73+2542.38</f>
        <v>2424.4900000000002</v>
      </c>
      <c r="K11" s="5">
        <f t="shared" si="1"/>
        <v>8319.050000000001</v>
      </c>
      <c r="L11" s="6"/>
    </row>
    <row r="12" spans="1:12" s="14" customFormat="1" ht="12.75">
      <c r="A12" s="1" t="s">
        <v>87</v>
      </c>
      <c r="B12" s="2" t="s">
        <v>88</v>
      </c>
      <c r="C12" s="2" t="s">
        <v>89</v>
      </c>
      <c r="D12" s="1" t="s">
        <v>8</v>
      </c>
      <c r="E12" s="1" t="s">
        <v>255</v>
      </c>
      <c r="F12" s="4">
        <v>41304</v>
      </c>
      <c r="G12" s="4">
        <v>42398</v>
      </c>
      <c r="H12" s="10" t="s">
        <v>9</v>
      </c>
      <c r="I12" s="5">
        <v>6332.21</v>
      </c>
      <c r="J12" s="5">
        <f>-126.65+2708.74</f>
        <v>2582.0899999999997</v>
      </c>
      <c r="K12" s="5">
        <f t="shared" si="1"/>
        <v>8914.3</v>
      </c>
      <c r="L12" s="6"/>
    </row>
    <row r="13" spans="1:12" s="14" customFormat="1" ht="22.5">
      <c r="A13" s="1" t="s">
        <v>209</v>
      </c>
      <c r="B13" s="2" t="s">
        <v>210</v>
      </c>
      <c r="C13" s="2" t="s">
        <v>66</v>
      </c>
      <c r="D13" s="1" t="s">
        <v>8</v>
      </c>
      <c r="E13" s="1" t="s">
        <v>255</v>
      </c>
      <c r="F13" s="4">
        <v>41464</v>
      </c>
      <c r="G13" s="4">
        <v>42071</v>
      </c>
      <c r="H13" s="10" t="s">
        <v>9</v>
      </c>
      <c r="I13" s="5">
        <f>6323.08-20.04</f>
        <v>6303.04</v>
      </c>
      <c r="J13" s="5">
        <v>2067.25</v>
      </c>
      <c r="K13" s="5">
        <f t="shared" si="1"/>
        <v>8370.29</v>
      </c>
      <c r="L13" s="6" t="s">
        <v>267</v>
      </c>
    </row>
    <row r="14" spans="1:12" s="14" customFormat="1" ht="12.75">
      <c r="A14" s="1" t="s">
        <v>156</v>
      </c>
      <c r="B14" s="2" t="s">
        <v>157</v>
      </c>
      <c r="C14" s="2" t="s">
        <v>137</v>
      </c>
      <c r="D14" s="1" t="s">
        <v>8</v>
      </c>
      <c r="E14" s="1" t="s">
        <v>255</v>
      </c>
      <c r="F14" s="4">
        <v>41137</v>
      </c>
      <c r="G14" s="4">
        <v>42231</v>
      </c>
      <c r="H14" s="10" t="s">
        <v>9</v>
      </c>
      <c r="I14" s="5">
        <v>6332.21</v>
      </c>
      <c r="J14" s="5">
        <f>-126.65+2711.11</f>
        <v>2584.46</v>
      </c>
      <c r="K14" s="5">
        <f t="shared" si="1"/>
        <v>8916.67</v>
      </c>
      <c r="L14" s="6"/>
    </row>
    <row r="15" spans="1:12" s="14" customFormat="1" ht="12.75">
      <c r="A15" s="3">
        <v>9129</v>
      </c>
      <c r="B15" s="7" t="s">
        <v>269</v>
      </c>
      <c r="C15" s="7" t="s">
        <v>270</v>
      </c>
      <c r="D15" s="8" t="s">
        <v>8</v>
      </c>
      <c r="E15" s="8" t="s">
        <v>255</v>
      </c>
      <c r="F15" s="4">
        <v>41435</v>
      </c>
      <c r="G15" s="4">
        <v>41799</v>
      </c>
      <c r="H15" s="10">
        <v>0.7</v>
      </c>
      <c r="I15" s="5">
        <v>963.98</v>
      </c>
      <c r="J15" s="5">
        <f>-19.28+404.77</f>
        <v>385.49</v>
      </c>
      <c r="K15" s="5">
        <f t="shared" si="1"/>
        <v>1349.47</v>
      </c>
      <c r="L15" s="6" t="s">
        <v>268</v>
      </c>
    </row>
    <row r="16" spans="1:12" s="14" customFormat="1" ht="12.75">
      <c r="A16" s="1" t="s">
        <v>29</v>
      </c>
      <c r="B16" s="2" t="s">
        <v>30</v>
      </c>
      <c r="C16" s="2" t="s">
        <v>31</v>
      </c>
      <c r="D16" s="1" t="s">
        <v>8</v>
      </c>
      <c r="E16" s="1" t="s">
        <v>255</v>
      </c>
      <c r="F16" s="4">
        <v>41554</v>
      </c>
      <c r="G16" s="4">
        <v>42100</v>
      </c>
      <c r="H16" s="10">
        <v>0.7</v>
      </c>
      <c r="I16" s="5">
        <v>4432.56</v>
      </c>
      <c r="J16" s="5">
        <f>1861.21-88.65</f>
        <v>1772.56</v>
      </c>
      <c r="K16" s="5">
        <f t="shared" si="1"/>
        <v>6205.120000000001</v>
      </c>
      <c r="L16" s="6"/>
    </row>
    <row r="17" spans="1:12" s="14" customFormat="1" ht="12.75">
      <c r="A17" s="1" t="s">
        <v>81</v>
      </c>
      <c r="B17" s="2" t="s">
        <v>82</v>
      </c>
      <c r="C17" s="2" t="s">
        <v>83</v>
      </c>
      <c r="D17" s="1" t="s">
        <v>8</v>
      </c>
      <c r="E17" s="1" t="s">
        <v>255</v>
      </c>
      <c r="F17" s="4">
        <v>41890</v>
      </c>
      <c r="G17" s="4">
        <v>42436</v>
      </c>
      <c r="H17" s="10" t="s">
        <v>9</v>
      </c>
      <c r="I17" s="5">
        <v>1198.21</v>
      </c>
      <c r="J17" s="5">
        <f>503.13-23.96</f>
        <v>479.17</v>
      </c>
      <c r="K17" s="5">
        <f t="shared" si="1"/>
        <v>1677.38</v>
      </c>
      <c r="L17" s="6"/>
    </row>
    <row r="18" spans="1:12" s="14" customFormat="1" ht="12.75">
      <c r="A18" s="1" t="s">
        <v>81</v>
      </c>
      <c r="B18" s="2" t="s">
        <v>82</v>
      </c>
      <c r="C18" s="2" t="s">
        <v>83</v>
      </c>
      <c r="D18" s="1" t="s">
        <v>8</v>
      </c>
      <c r="E18" s="1" t="s">
        <v>255</v>
      </c>
      <c r="F18" s="4">
        <v>40749</v>
      </c>
      <c r="G18" s="4">
        <v>41844</v>
      </c>
      <c r="H18" s="10" t="s">
        <v>9</v>
      </c>
      <c r="I18" s="5">
        <v>3079.64</v>
      </c>
      <c r="J18" s="5">
        <v>1258.41</v>
      </c>
      <c r="K18" s="5">
        <f t="shared" si="1"/>
        <v>4338.05</v>
      </c>
      <c r="L18" s="6" t="s">
        <v>297</v>
      </c>
    </row>
    <row r="19" spans="1:12" s="14" customFormat="1" ht="22.5">
      <c r="A19" s="1" t="s">
        <v>158</v>
      </c>
      <c r="B19" s="2" t="s">
        <v>159</v>
      </c>
      <c r="C19" s="2" t="s">
        <v>160</v>
      </c>
      <c r="D19" s="1" t="s">
        <v>8</v>
      </c>
      <c r="E19" s="1" t="s">
        <v>255</v>
      </c>
      <c r="F19" s="4">
        <v>41137</v>
      </c>
      <c r="G19" s="4">
        <v>42231</v>
      </c>
      <c r="H19" s="10" t="s">
        <v>9</v>
      </c>
      <c r="I19" s="5">
        <f>6318.51-10.02</f>
        <v>6308.49</v>
      </c>
      <c r="J19" s="5">
        <f>-126.65+0.2+0.27+2701.02</f>
        <v>2574.84</v>
      </c>
      <c r="K19" s="5">
        <f t="shared" si="1"/>
        <v>8883.33</v>
      </c>
      <c r="L19" s="6" t="s">
        <v>276</v>
      </c>
    </row>
    <row r="20" spans="1:12" s="14" customFormat="1" ht="12.75">
      <c r="A20" s="1" t="s">
        <v>26</v>
      </c>
      <c r="B20" s="2" t="s">
        <v>27</v>
      </c>
      <c r="C20" s="2" t="s">
        <v>28</v>
      </c>
      <c r="D20" s="1" t="s">
        <v>8</v>
      </c>
      <c r="E20" s="1" t="s">
        <v>255</v>
      </c>
      <c r="F20" s="4">
        <v>41554</v>
      </c>
      <c r="G20" s="4">
        <v>42100</v>
      </c>
      <c r="H20" s="10">
        <v>0.7</v>
      </c>
      <c r="I20" s="5">
        <v>4432.56</v>
      </c>
      <c r="J20" s="5">
        <f>1867.07-88.65</f>
        <v>1778.4199999999998</v>
      </c>
      <c r="K20" s="5">
        <f t="shared" si="1"/>
        <v>6210.9800000000005</v>
      </c>
      <c r="L20" s="6"/>
    </row>
    <row r="21" spans="1:12" s="14" customFormat="1" ht="12.75">
      <c r="A21" s="1" t="s">
        <v>55</v>
      </c>
      <c r="B21" s="2" t="s">
        <v>56</v>
      </c>
      <c r="C21" s="2" t="s">
        <v>57</v>
      </c>
      <c r="D21" s="1" t="s">
        <v>8</v>
      </c>
      <c r="E21" s="1" t="s">
        <v>255</v>
      </c>
      <c r="F21" s="4">
        <v>40961</v>
      </c>
      <c r="G21" s="4">
        <v>42056</v>
      </c>
      <c r="H21" s="10" t="s">
        <v>9</v>
      </c>
      <c r="I21" s="5">
        <v>6327.65</v>
      </c>
      <c r="J21" s="5">
        <f>2705.42-126.65+0.09</f>
        <v>2578.86</v>
      </c>
      <c r="K21" s="5">
        <f t="shared" si="1"/>
        <v>8906.51</v>
      </c>
      <c r="L21" s="6"/>
    </row>
    <row r="22" spans="1:12" s="14" customFormat="1" ht="12.75">
      <c r="A22" s="1" t="s">
        <v>23</v>
      </c>
      <c r="B22" s="2" t="s">
        <v>24</v>
      </c>
      <c r="C22" s="2" t="s">
        <v>25</v>
      </c>
      <c r="D22" s="1" t="s">
        <v>8</v>
      </c>
      <c r="E22" s="1" t="s">
        <v>255</v>
      </c>
      <c r="F22" s="4">
        <v>41235</v>
      </c>
      <c r="G22" s="4">
        <v>42329</v>
      </c>
      <c r="H22" s="10" t="s">
        <v>9</v>
      </c>
      <c r="I22" s="5">
        <v>6240.9</v>
      </c>
      <c r="J22" s="5">
        <f>2630.5-126.65+1.83</f>
        <v>2505.68</v>
      </c>
      <c r="K22" s="5">
        <f t="shared" si="1"/>
        <v>8746.58</v>
      </c>
      <c r="L22" s="6"/>
    </row>
    <row r="23" spans="1:12" s="14" customFormat="1" ht="22.5">
      <c r="A23" s="1" t="s">
        <v>41</v>
      </c>
      <c r="B23" s="2" t="s">
        <v>42</v>
      </c>
      <c r="C23" s="2" t="s">
        <v>43</v>
      </c>
      <c r="D23" s="1" t="s">
        <v>8</v>
      </c>
      <c r="E23" s="1" t="s">
        <v>255</v>
      </c>
      <c r="F23" s="4">
        <v>41186</v>
      </c>
      <c r="G23" s="4">
        <v>42280</v>
      </c>
      <c r="H23" s="10" t="s">
        <v>9</v>
      </c>
      <c r="I23" s="5">
        <f>6304.82-140.26</f>
        <v>6164.5599999999995</v>
      </c>
      <c r="J23" s="5">
        <f>2622.85-126.65+2.81+0.54</f>
        <v>2499.5499999999997</v>
      </c>
      <c r="K23" s="5">
        <f t="shared" si="1"/>
        <v>8664.109999999999</v>
      </c>
      <c r="L23" s="6" t="s">
        <v>295</v>
      </c>
    </row>
    <row r="24" spans="1:12" s="14" customFormat="1" ht="12.75">
      <c r="A24" s="1" t="s">
        <v>177</v>
      </c>
      <c r="B24" s="2" t="s">
        <v>122</v>
      </c>
      <c r="C24" s="2" t="s">
        <v>178</v>
      </c>
      <c r="D24" s="1" t="s">
        <v>8</v>
      </c>
      <c r="E24" s="1" t="s">
        <v>255</v>
      </c>
      <c r="F24" s="4">
        <v>41890</v>
      </c>
      <c r="G24" s="4">
        <v>42254</v>
      </c>
      <c r="H24" s="9">
        <v>0.7</v>
      </c>
      <c r="I24" s="5">
        <v>838.74</v>
      </c>
      <c r="J24" s="5">
        <f>352.2-16.78</f>
        <v>335.41999999999996</v>
      </c>
      <c r="K24" s="5">
        <f t="shared" si="1"/>
        <v>1174.1599999999999</v>
      </c>
      <c r="L24" s="6"/>
    </row>
    <row r="25" spans="1:12" s="14" customFormat="1" ht="12.75">
      <c r="A25" s="1" t="s">
        <v>121</v>
      </c>
      <c r="B25" s="2" t="s">
        <v>122</v>
      </c>
      <c r="C25" s="2" t="s">
        <v>123</v>
      </c>
      <c r="D25" s="1" t="s">
        <v>8</v>
      </c>
      <c r="E25" s="15" t="s">
        <v>255</v>
      </c>
      <c r="F25" s="4">
        <v>41498</v>
      </c>
      <c r="G25" s="4">
        <v>42046</v>
      </c>
      <c r="H25" s="10" t="s">
        <v>9</v>
      </c>
      <c r="I25" s="5">
        <v>6332.21</v>
      </c>
      <c r="J25" s="5">
        <f>2678.83-126.65</f>
        <v>2552.18</v>
      </c>
      <c r="K25" s="5">
        <f t="shared" si="1"/>
        <v>8884.39</v>
      </c>
      <c r="L25" s="6"/>
    </row>
    <row r="26" spans="1:12" s="14" customFormat="1" ht="12.75">
      <c r="A26" s="1" t="s">
        <v>199</v>
      </c>
      <c r="B26" s="2" t="s">
        <v>200</v>
      </c>
      <c r="C26" s="2" t="s">
        <v>201</v>
      </c>
      <c r="D26" s="1" t="s">
        <v>8</v>
      </c>
      <c r="E26" s="1" t="s">
        <v>255</v>
      </c>
      <c r="F26" s="4">
        <v>41827</v>
      </c>
      <c r="G26" s="4">
        <v>42191</v>
      </c>
      <c r="H26" s="10" t="s">
        <v>9</v>
      </c>
      <c r="I26" s="5">
        <v>5170.45</v>
      </c>
      <c r="J26" s="5">
        <f>2171.05-103.42</f>
        <v>2067.63</v>
      </c>
      <c r="K26" s="5">
        <f t="shared" si="1"/>
        <v>7238.08</v>
      </c>
      <c r="L26" s="6"/>
    </row>
    <row r="27" spans="1:12" s="14" customFormat="1" ht="22.5">
      <c r="A27" s="1" t="s">
        <v>44</v>
      </c>
      <c r="B27" s="2" t="s">
        <v>45</v>
      </c>
      <c r="C27" s="2" t="s">
        <v>16</v>
      </c>
      <c r="D27" s="1" t="s">
        <v>8</v>
      </c>
      <c r="E27" s="1" t="s">
        <v>255</v>
      </c>
      <c r="F27" s="4">
        <v>41137</v>
      </c>
      <c r="G27" s="4">
        <v>42231</v>
      </c>
      <c r="H27" s="10" t="s">
        <v>9</v>
      </c>
      <c r="I27" s="5">
        <f>6332.21-561.04</f>
        <v>5771.17</v>
      </c>
      <c r="J27" s="5">
        <f>2446.2-126.65+11.23</f>
        <v>2330.7799999999997</v>
      </c>
      <c r="K27" s="5">
        <f t="shared" si="1"/>
        <v>8101.95</v>
      </c>
      <c r="L27" s="6" t="s">
        <v>293</v>
      </c>
    </row>
    <row r="28" spans="1:12" s="14" customFormat="1" ht="33.75">
      <c r="A28" s="1" t="s">
        <v>20</v>
      </c>
      <c r="B28" s="2" t="s">
        <v>21</v>
      </c>
      <c r="C28" s="2" t="s">
        <v>22</v>
      </c>
      <c r="D28" s="1" t="s">
        <v>8</v>
      </c>
      <c r="E28" s="1" t="s">
        <v>255</v>
      </c>
      <c r="F28" s="4">
        <v>41540</v>
      </c>
      <c r="G28" s="4">
        <v>42085</v>
      </c>
      <c r="H28" s="10" t="s">
        <v>9</v>
      </c>
      <c r="I28" s="5">
        <f>6651.71-20.04</f>
        <v>6631.67</v>
      </c>
      <c r="J28" s="5">
        <f>2663.39-126.65+0.4</f>
        <v>2537.14</v>
      </c>
      <c r="K28" s="5">
        <f t="shared" si="1"/>
        <v>9168.81</v>
      </c>
      <c r="L28" s="6" t="s">
        <v>296</v>
      </c>
    </row>
    <row r="29" spans="1:12" s="14" customFormat="1" ht="12.75">
      <c r="A29" s="16" t="s">
        <v>93</v>
      </c>
      <c r="B29" s="7" t="s">
        <v>94</v>
      </c>
      <c r="C29" s="7" t="s">
        <v>95</v>
      </c>
      <c r="D29" s="1" t="s">
        <v>8</v>
      </c>
      <c r="E29" s="1" t="s">
        <v>255</v>
      </c>
      <c r="F29" s="4">
        <v>41890</v>
      </c>
      <c r="G29" s="4">
        <v>42985</v>
      </c>
      <c r="H29" s="10" t="s">
        <v>9</v>
      </c>
      <c r="I29" s="5">
        <v>1198.21</v>
      </c>
      <c r="J29" s="5">
        <f>503.13-23.96</f>
        <v>479.17</v>
      </c>
      <c r="K29" s="5">
        <f t="shared" si="1"/>
        <v>1677.38</v>
      </c>
      <c r="L29" s="6"/>
    </row>
    <row r="30" spans="1:12" s="14" customFormat="1" ht="12.75">
      <c r="A30" s="1" t="s">
        <v>68</v>
      </c>
      <c r="B30" s="2" t="s">
        <v>69</v>
      </c>
      <c r="C30" s="2" t="s">
        <v>70</v>
      </c>
      <c r="D30" s="1" t="s">
        <v>8</v>
      </c>
      <c r="E30" s="1" t="s">
        <v>255</v>
      </c>
      <c r="F30" s="4">
        <v>41186</v>
      </c>
      <c r="G30" s="4">
        <v>42280</v>
      </c>
      <c r="H30" s="10" t="s">
        <v>9</v>
      </c>
      <c r="I30" s="5">
        <v>6318.51</v>
      </c>
      <c r="J30" s="5">
        <f>2700.52-126.65+0.27</f>
        <v>2574.14</v>
      </c>
      <c r="K30" s="5">
        <f t="shared" si="1"/>
        <v>8892.65</v>
      </c>
      <c r="L30" s="6"/>
    </row>
    <row r="31" spans="1:12" s="14" customFormat="1" ht="12.75">
      <c r="A31" s="1" t="s">
        <v>113</v>
      </c>
      <c r="B31" s="2" t="s">
        <v>114</v>
      </c>
      <c r="C31" s="2" t="s">
        <v>48</v>
      </c>
      <c r="D31" s="1" t="s">
        <v>8</v>
      </c>
      <c r="E31" s="1" t="s">
        <v>255</v>
      </c>
      <c r="F31" s="4">
        <v>40940</v>
      </c>
      <c r="G31" s="4">
        <v>42035</v>
      </c>
      <c r="H31" s="10" t="s">
        <v>9</v>
      </c>
      <c r="I31" s="5">
        <v>6318.51</v>
      </c>
      <c r="J31" s="5">
        <f>2659.45-126.65+0.28</f>
        <v>2533.08</v>
      </c>
      <c r="K31" s="5">
        <f t="shared" si="1"/>
        <v>8851.59</v>
      </c>
      <c r="L31" s="6"/>
    </row>
    <row r="32" spans="1:12" s="14" customFormat="1" ht="12.75">
      <c r="A32" s="1" t="s">
        <v>71</v>
      </c>
      <c r="B32" s="2" t="s">
        <v>72</v>
      </c>
      <c r="C32" s="2" t="s">
        <v>73</v>
      </c>
      <c r="D32" s="1" t="s">
        <v>8</v>
      </c>
      <c r="E32" s="1" t="s">
        <v>255</v>
      </c>
      <c r="F32" s="4">
        <v>41186</v>
      </c>
      <c r="G32" s="4">
        <v>42280</v>
      </c>
      <c r="H32" s="10" t="s">
        <v>9</v>
      </c>
      <c r="I32" s="5">
        <v>6332.21</v>
      </c>
      <c r="J32" s="5">
        <f>2713.46-126.65</f>
        <v>2586.81</v>
      </c>
      <c r="K32" s="5">
        <f t="shared" si="1"/>
        <v>8919.02</v>
      </c>
      <c r="L32" s="6"/>
    </row>
    <row r="33" spans="1:12" s="14" customFormat="1" ht="12.75">
      <c r="A33" s="1" t="s">
        <v>190</v>
      </c>
      <c r="B33" s="2" t="s">
        <v>191</v>
      </c>
      <c r="C33" s="2" t="s">
        <v>192</v>
      </c>
      <c r="D33" s="1" t="s">
        <v>8</v>
      </c>
      <c r="E33" s="1" t="s">
        <v>255</v>
      </c>
      <c r="F33" s="4">
        <v>41297</v>
      </c>
      <c r="G33" s="4">
        <v>42026</v>
      </c>
      <c r="H33" s="10" t="s">
        <v>9</v>
      </c>
      <c r="I33" s="5">
        <v>6332.21</v>
      </c>
      <c r="J33" s="5">
        <f>2710.52-126.65</f>
        <v>2583.87</v>
      </c>
      <c r="K33" s="5">
        <f t="shared" si="1"/>
        <v>8916.08</v>
      </c>
      <c r="L33" s="6"/>
    </row>
    <row r="34" spans="1:12" s="14" customFormat="1" ht="12.75">
      <c r="A34" s="1" t="s">
        <v>124</v>
      </c>
      <c r="B34" s="2" t="s">
        <v>125</v>
      </c>
      <c r="C34" s="2" t="s">
        <v>126</v>
      </c>
      <c r="D34" s="1" t="s">
        <v>8</v>
      </c>
      <c r="E34" s="1" t="s">
        <v>255</v>
      </c>
      <c r="F34" s="4">
        <v>41396</v>
      </c>
      <c r="G34" s="4">
        <v>41944</v>
      </c>
      <c r="H34" s="10" t="s">
        <v>9</v>
      </c>
      <c r="I34" s="5">
        <v>6040.02</v>
      </c>
      <c r="J34" s="5">
        <f>2548.52-121.26+0.46</f>
        <v>2427.72</v>
      </c>
      <c r="K34" s="5">
        <f t="shared" si="1"/>
        <v>8467.74</v>
      </c>
      <c r="L34" s="6"/>
    </row>
    <row r="35" spans="1:12" s="14" customFormat="1" ht="22.5">
      <c r="A35" s="1" t="s">
        <v>161</v>
      </c>
      <c r="B35" s="2" t="s">
        <v>162</v>
      </c>
      <c r="C35" s="2" t="s">
        <v>163</v>
      </c>
      <c r="D35" s="1" t="s">
        <v>8</v>
      </c>
      <c r="E35" s="1" t="s">
        <v>255</v>
      </c>
      <c r="F35" s="4">
        <v>40771</v>
      </c>
      <c r="G35" s="4">
        <v>41866</v>
      </c>
      <c r="H35" s="10" t="s">
        <v>9</v>
      </c>
      <c r="I35" s="5">
        <f>5693.06-25.05</f>
        <v>5668.01</v>
      </c>
      <c r="J35" s="5">
        <f>2267.31-66.97+0.49</f>
        <v>2200.83</v>
      </c>
      <c r="K35" s="5">
        <f t="shared" si="1"/>
        <v>7868.84</v>
      </c>
      <c r="L35" s="6" t="s">
        <v>267</v>
      </c>
    </row>
    <row r="36" spans="1:12" s="14" customFormat="1" ht="12.75">
      <c r="A36" s="1" t="s">
        <v>138</v>
      </c>
      <c r="B36" s="2" t="s">
        <v>139</v>
      </c>
      <c r="C36" s="2" t="s">
        <v>140</v>
      </c>
      <c r="D36" s="1" t="s">
        <v>8</v>
      </c>
      <c r="E36" s="1" t="s">
        <v>255</v>
      </c>
      <c r="F36" s="4">
        <v>41137</v>
      </c>
      <c r="G36" s="4">
        <v>42231</v>
      </c>
      <c r="H36" s="10" t="s">
        <v>9</v>
      </c>
      <c r="I36" s="5">
        <v>6332.21</v>
      </c>
      <c r="J36" s="5">
        <f>2704.65-126.65</f>
        <v>2578</v>
      </c>
      <c r="K36" s="5">
        <f t="shared" si="1"/>
        <v>8910.21</v>
      </c>
      <c r="L36" s="12"/>
    </row>
    <row r="37" spans="1:12" s="14" customFormat="1" ht="12.75">
      <c r="A37" s="1" t="s">
        <v>169</v>
      </c>
      <c r="B37" s="2" t="s">
        <v>170</v>
      </c>
      <c r="C37" s="2" t="s">
        <v>171</v>
      </c>
      <c r="D37" s="1" t="s">
        <v>8</v>
      </c>
      <c r="E37" s="1" t="s">
        <v>255</v>
      </c>
      <c r="F37" s="4">
        <v>41137</v>
      </c>
      <c r="G37" s="4">
        <v>42231</v>
      </c>
      <c r="H37" s="10" t="s">
        <v>9</v>
      </c>
      <c r="I37" s="5">
        <v>6323.08</v>
      </c>
      <c r="J37" s="5">
        <f>2699.76-126.65+0.18</f>
        <v>2573.29</v>
      </c>
      <c r="K37" s="5">
        <f t="shared" si="1"/>
        <v>8896.369999999999</v>
      </c>
      <c r="L37" s="6"/>
    </row>
    <row r="38" spans="1:12" s="14" customFormat="1" ht="22.5">
      <c r="A38" s="1" t="s">
        <v>164</v>
      </c>
      <c r="B38" s="2" t="s">
        <v>165</v>
      </c>
      <c r="C38" s="2" t="s">
        <v>106</v>
      </c>
      <c r="D38" s="1" t="s">
        <v>8</v>
      </c>
      <c r="E38" s="1" t="s">
        <v>255</v>
      </c>
      <c r="F38" s="4">
        <v>40771</v>
      </c>
      <c r="G38" s="4">
        <v>41866</v>
      </c>
      <c r="H38" s="10" t="s">
        <v>9</v>
      </c>
      <c r="I38" s="5">
        <v>4413.94</v>
      </c>
      <c r="J38" s="5">
        <f>1882.98-67.43-18.23</f>
        <v>1797.32</v>
      </c>
      <c r="K38" s="5">
        <f t="shared" si="1"/>
        <v>6211.259999999999</v>
      </c>
      <c r="L38" s="6" t="s">
        <v>275</v>
      </c>
    </row>
    <row r="39" spans="1:12" s="14" customFormat="1" ht="12.75">
      <c r="A39" s="1" t="s">
        <v>52</v>
      </c>
      <c r="B39" s="2" t="s">
        <v>53</v>
      </c>
      <c r="C39" s="2" t="s">
        <v>54</v>
      </c>
      <c r="D39" s="1" t="s">
        <v>8</v>
      </c>
      <c r="E39" s="1" t="s">
        <v>255</v>
      </c>
      <c r="F39" s="4">
        <v>41127</v>
      </c>
      <c r="G39" s="4">
        <v>42221</v>
      </c>
      <c r="H39" s="10" t="s">
        <v>9</v>
      </c>
      <c r="I39" s="5">
        <v>6286.56</v>
      </c>
      <c r="J39" s="5">
        <f>2643.22-126.65+0.91</f>
        <v>2517.4799999999996</v>
      </c>
      <c r="K39" s="5">
        <f t="shared" si="1"/>
        <v>8804.04</v>
      </c>
      <c r="L39" s="6"/>
    </row>
    <row r="40" spans="1:12" s="14" customFormat="1" ht="12.75">
      <c r="A40" s="1" t="s">
        <v>144</v>
      </c>
      <c r="B40" s="2" t="s">
        <v>145</v>
      </c>
      <c r="C40" s="2" t="s">
        <v>146</v>
      </c>
      <c r="D40" s="1" t="s">
        <v>8</v>
      </c>
      <c r="E40" s="1" t="s">
        <v>255</v>
      </c>
      <c r="F40" s="4">
        <v>41183</v>
      </c>
      <c r="G40" s="4">
        <v>42277</v>
      </c>
      <c r="H40" s="10" t="s">
        <v>9</v>
      </c>
      <c r="I40" s="5">
        <f>6332.21-10.02</f>
        <v>6322.19</v>
      </c>
      <c r="J40" s="5">
        <f>2702.78-126.65+0.2</f>
        <v>2576.33</v>
      </c>
      <c r="K40" s="5">
        <f t="shared" si="1"/>
        <v>8898.52</v>
      </c>
      <c r="L40" s="6" t="s">
        <v>276</v>
      </c>
    </row>
    <row r="41" spans="1:12" s="14" customFormat="1" ht="12.75">
      <c r="A41" s="1" t="s">
        <v>84</v>
      </c>
      <c r="B41" s="2" t="s">
        <v>85</v>
      </c>
      <c r="C41" s="2" t="s">
        <v>86</v>
      </c>
      <c r="D41" s="1" t="s">
        <v>8</v>
      </c>
      <c r="E41" s="1" t="s">
        <v>255</v>
      </c>
      <c r="F41" s="4">
        <v>41346</v>
      </c>
      <c r="G41" s="4">
        <v>42075</v>
      </c>
      <c r="H41" s="10" t="s">
        <v>9</v>
      </c>
      <c r="I41" s="5">
        <v>6318.51</v>
      </c>
      <c r="J41" s="5">
        <f>2676.48-126.65+0.27</f>
        <v>2550.1</v>
      </c>
      <c r="K41" s="5">
        <f t="shared" si="1"/>
        <v>8868.61</v>
      </c>
      <c r="L41" s="6"/>
    </row>
    <row r="42" spans="1:12" s="14" customFormat="1" ht="12.75">
      <c r="A42" s="1" t="s">
        <v>14</v>
      </c>
      <c r="B42" s="2" t="s">
        <v>15</v>
      </c>
      <c r="C42" s="2" t="s">
        <v>16</v>
      </c>
      <c r="D42" s="1" t="s">
        <v>8</v>
      </c>
      <c r="E42" s="1" t="s">
        <v>255</v>
      </c>
      <c r="F42" s="4">
        <v>41890</v>
      </c>
      <c r="G42" s="4">
        <v>42254</v>
      </c>
      <c r="H42" s="10" t="s">
        <v>9</v>
      </c>
      <c r="I42" s="5">
        <v>1198.21</v>
      </c>
      <c r="J42" s="5">
        <f>503.13-23.96</f>
        <v>479.17</v>
      </c>
      <c r="K42" s="5">
        <f aca="true" t="shared" si="2" ref="K42:K73">I42+J42</f>
        <v>1677.38</v>
      </c>
      <c r="L42" s="6"/>
    </row>
    <row r="43" spans="1:12" s="14" customFormat="1" ht="12.75">
      <c r="A43" s="1" t="s">
        <v>127</v>
      </c>
      <c r="B43" s="2" t="s">
        <v>128</v>
      </c>
      <c r="C43" s="2" t="s">
        <v>129</v>
      </c>
      <c r="D43" s="1" t="s">
        <v>8</v>
      </c>
      <c r="E43" s="1" t="s">
        <v>255</v>
      </c>
      <c r="F43" s="4">
        <v>41204</v>
      </c>
      <c r="G43" s="4">
        <v>42298</v>
      </c>
      <c r="H43" s="10" t="s">
        <v>9</v>
      </c>
      <c r="I43" s="5">
        <v>6332.21</v>
      </c>
      <c r="J43" s="5">
        <f>2658.89-126.65</f>
        <v>2532.24</v>
      </c>
      <c r="K43" s="5">
        <f t="shared" si="2"/>
        <v>8864.45</v>
      </c>
      <c r="L43" s="12"/>
    </row>
    <row r="44" spans="1:12" s="14" customFormat="1" ht="22.5">
      <c r="A44" s="1" t="s">
        <v>147</v>
      </c>
      <c r="B44" s="2" t="s">
        <v>148</v>
      </c>
      <c r="C44" s="2" t="s">
        <v>149</v>
      </c>
      <c r="D44" s="1" t="s">
        <v>8</v>
      </c>
      <c r="E44" s="1" t="s">
        <v>255</v>
      </c>
      <c r="F44" s="4">
        <v>41239</v>
      </c>
      <c r="G44" s="4">
        <v>42333</v>
      </c>
      <c r="H44" s="10" t="s">
        <v>9</v>
      </c>
      <c r="I44" s="5">
        <f>6304.82-30.06</f>
        <v>6274.759999999999</v>
      </c>
      <c r="J44" s="5">
        <f>2680.3-126.65+0.6+0.55</f>
        <v>2554.8</v>
      </c>
      <c r="K44" s="5">
        <f t="shared" si="2"/>
        <v>8829.56</v>
      </c>
      <c r="L44" s="6" t="s">
        <v>277</v>
      </c>
    </row>
    <row r="45" spans="1:12" s="14" customFormat="1" ht="12.75">
      <c r="A45" s="1" t="s">
        <v>135</v>
      </c>
      <c r="B45" s="2" t="s">
        <v>136</v>
      </c>
      <c r="C45" s="2" t="s">
        <v>137</v>
      </c>
      <c r="D45" s="1" t="s">
        <v>8</v>
      </c>
      <c r="E45" s="1" t="s">
        <v>255</v>
      </c>
      <c r="F45" s="4">
        <v>41137</v>
      </c>
      <c r="G45" s="4">
        <v>42231</v>
      </c>
      <c r="H45" s="10" t="s">
        <v>9</v>
      </c>
      <c r="I45" s="5">
        <v>6283.41</v>
      </c>
      <c r="J45" s="5">
        <f>2642.28-126.59+0.74+0.18</f>
        <v>2516.6099999999997</v>
      </c>
      <c r="K45" s="5">
        <f t="shared" si="2"/>
        <v>8800.02</v>
      </c>
      <c r="L45" s="6"/>
    </row>
    <row r="46" spans="1:12" s="14" customFormat="1" ht="12.75">
      <c r="A46" s="1" t="s">
        <v>107</v>
      </c>
      <c r="B46" s="2" t="s">
        <v>108</v>
      </c>
      <c r="C46" s="2" t="s">
        <v>109</v>
      </c>
      <c r="D46" s="1" t="s">
        <v>8</v>
      </c>
      <c r="E46" s="1" t="s">
        <v>255</v>
      </c>
      <c r="F46" s="4">
        <v>41372</v>
      </c>
      <c r="G46" s="4">
        <v>42735</v>
      </c>
      <c r="H46" s="10" t="s">
        <v>9</v>
      </c>
      <c r="I46" s="5">
        <v>6313.95</v>
      </c>
      <c r="J46" s="5">
        <f>2652.62-126.47+0.18</f>
        <v>2526.33</v>
      </c>
      <c r="K46" s="5">
        <f t="shared" si="2"/>
        <v>8840.279999999999</v>
      </c>
      <c r="L46" s="6"/>
    </row>
    <row r="47" spans="1:12" s="14" customFormat="1" ht="12.75">
      <c r="A47" s="1" t="s">
        <v>5</v>
      </c>
      <c r="B47" s="2" t="s">
        <v>6</v>
      </c>
      <c r="C47" s="2" t="s">
        <v>7</v>
      </c>
      <c r="D47" s="1" t="s">
        <v>8</v>
      </c>
      <c r="E47" s="1" t="s">
        <v>255</v>
      </c>
      <c r="F47" s="4">
        <v>41540</v>
      </c>
      <c r="G47" s="4">
        <v>42085</v>
      </c>
      <c r="H47" s="10" t="s">
        <v>9</v>
      </c>
      <c r="I47" s="5">
        <v>6332.21</v>
      </c>
      <c r="J47" s="5">
        <f>2675.32-126.65</f>
        <v>2548.67</v>
      </c>
      <c r="K47" s="5">
        <f t="shared" si="2"/>
        <v>8880.880000000001</v>
      </c>
      <c r="L47" s="6"/>
    </row>
    <row r="48" spans="1:12" s="14" customFormat="1" ht="22.5">
      <c r="A48" s="1" t="s">
        <v>153</v>
      </c>
      <c r="B48" s="2" t="s">
        <v>154</v>
      </c>
      <c r="C48" s="2" t="s">
        <v>155</v>
      </c>
      <c r="D48" s="1" t="s">
        <v>8</v>
      </c>
      <c r="E48" s="1" t="s">
        <v>255</v>
      </c>
      <c r="F48" s="4">
        <v>41137</v>
      </c>
      <c r="G48" s="4">
        <v>42231</v>
      </c>
      <c r="H48" s="10" t="s">
        <v>9</v>
      </c>
      <c r="I48" s="5">
        <f>6332.21-60.11</f>
        <v>6272.1</v>
      </c>
      <c r="J48" s="5">
        <f>2670.03-126.65+1.2</f>
        <v>2544.58</v>
      </c>
      <c r="K48" s="5">
        <f t="shared" si="2"/>
        <v>8816.68</v>
      </c>
      <c r="L48" s="6" t="s">
        <v>279</v>
      </c>
    </row>
    <row r="49" spans="1:12" s="14" customFormat="1" ht="12.75">
      <c r="A49" s="1" t="s">
        <v>110</v>
      </c>
      <c r="B49" s="2" t="s">
        <v>111</v>
      </c>
      <c r="C49" s="2" t="s">
        <v>112</v>
      </c>
      <c r="D49" s="1" t="s">
        <v>8</v>
      </c>
      <c r="E49" s="1" t="s">
        <v>255</v>
      </c>
      <c r="F49" s="4">
        <v>41137</v>
      </c>
      <c r="G49" s="4">
        <v>42231</v>
      </c>
      <c r="H49" s="10" t="s">
        <v>9</v>
      </c>
      <c r="I49" s="5">
        <v>5625.98</v>
      </c>
      <c r="J49" s="5">
        <f>2449.28-116.8+3.65+0.64</f>
        <v>2336.77</v>
      </c>
      <c r="K49" s="5">
        <f t="shared" si="2"/>
        <v>7962.75</v>
      </c>
      <c r="L49" s="6"/>
    </row>
    <row r="50" spans="1:12" s="14" customFormat="1" ht="12.75">
      <c r="A50" s="1" t="s">
        <v>202</v>
      </c>
      <c r="B50" s="2" t="s">
        <v>203</v>
      </c>
      <c r="C50" s="2" t="s">
        <v>204</v>
      </c>
      <c r="D50" s="1" t="s">
        <v>8</v>
      </c>
      <c r="E50" s="1" t="s">
        <v>255</v>
      </c>
      <c r="F50" s="4">
        <v>41757</v>
      </c>
      <c r="G50" s="4">
        <v>42304</v>
      </c>
      <c r="H50" s="10">
        <v>0.7</v>
      </c>
      <c r="I50" s="5">
        <v>4058.65</v>
      </c>
      <c r="J50" s="5">
        <f>1704.2-81.17</f>
        <v>1623.03</v>
      </c>
      <c r="K50" s="5">
        <f t="shared" si="2"/>
        <v>5681.68</v>
      </c>
      <c r="L50" s="6"/>
    </row>
    <row r="51" spans="1:12" s="14" customFormat="1" ht="12.75">
      <c r="A51" s="1" t="s">
        <v>185</v>
      </c>
      <c r="B51" s="2" t="s">
        <v>186</v>
      </c>
      <c r="C51" s="2" t="s">
        <v>137</v>
      </c>
      <c r="D51" s="1" t="s">
        <v>8</v>
      </c>
      <c r="E51" s="1" t="s">
        <v>255</v>
      </c>
      <c r="F51" s="4">
        <v>41276</v>
      </c>
      <c r="G51" s="4">
        <v>42370</v>
      </c>
      <c r="H51" s="10" t="s">
        <v>9</v>
      </c>
      <c r="I51" s="5">
        <v>6295.69</v>
      </c>
      <c r="J51" s="5">
        <f>2689.77-126.65+0.73</f>
        <v>2563.85</v>
      </c>
      <c r="K51" s="5">
        <f t="shared" si="2"/>
        <v>8859.539999999999</v>
      </c>
      <c r="L51" s="6"/>
    </row>
    <row r="52" spans="1:12" s="14" customFormat="1" ht="56.25">
      <c r="A52" s="1" t="s">
        <v>96</v>
      </c>
      <c r="B52" s="2" t="s">
        <v>97</v>
      </c>
      <c r="C52" s="2" t="s">
        <v>98</v>
      </c>
      <c r="D52" s="1" t="s">
        <v>8</v>
      </c>
      <c r="E52" s="1" t="s">
        <v>255</v>
      </c>
      <c r="F52" s="4">
        <v>41372</v>
      </c>
      <c r="G52" s="4">
        <v>42735</v>
      </c>
      <c r="H52" s="10" t="s">
        <v>9</v>
      </c>
      <c r="I52" s="5">
        <v>7001.33</v>
      </c>
      <c r="J52" s="5">
        <f>2658.89-126.65</f>
        <v>2532.24</v>
      </c>
      <c r="K52" s="5">
        <f t="shared" si="2"/>
        <v>9533.57</v>
      </c>
      <c r="L52" s="6" t="s">
        <v>280</v>
      </c>
    </row>
    <row r="53" spans="1:12" s="25" customFormat="1" ht="12.75">
      <c r="A53" s="3" t="s">
        <v>99</v>
      </c>
      <c r="B53" s="2" t="s">
        <v>100</v>
      </c>
      <c r="C53" s="2" t="s">
        <v>101</v>
      </c>
      <c r="D53" s="3" t="s">
        <v>8</v>
      </c>
      <c r="E53" s="3" t="s">
        <v>255</v>
      </c>
      <c r="F53" s="4">
        <v>41904</v>
      </c>
      <c r="G53" s="4">
        <v>42634</v>
      </c>
      <c r="H53" s="10" t="s">
        <v>9</v>
      </c>
      <c r="I53" s="5">
        <v>0</v>
      </c>
      <c r="J53" s="5">
        <v>0</v>
      </c>
      <c r="K53" s="5">
        <f t="shared" si="2"/>
        <v>0</v>
      </c>
      <c r="L53" s="6" t="s">
        <v>298</v>
      </c>
    </row>
    <row r="54" spans="1:12" s="14" customFormat="1" ht="12.75">
      <c r="A54" s="1" t="s">
        <v>99</v>
      </c>
      <c r="B54" s="2" t="s">
        <v>100</v>
      </c>
      <c r="C54" s="2" t="s">
        <v>101</v>
      </c>
      <c r="D54" s="1" t="s">
        <v>8</v>
      </c>
      <c r="E54" s="1" t="s">
        <v>255</v>
      </c>
      <c r="F54" s="4">
        <v>40788</v>
      </c>
      <c r="G54" s="4">
        <v>41883</v>
      </c>
      <c r="H54" s="10" t="s">
        <v>9</v>
      </c>
      <c r="I54" s="5">
        <v>4273.58</v>
      </c>
      <c r="J54" s="5">
        <f>1885.76-85.48</f>
        <v>1800.28</v>
      </c>
      <c r="K54" s="5">
        <f t="shared" si="2"/>
        <v>6073.86</v>
      </c>
      <c r="L54" s="6"/>
    </row>
    <row r="55" spans="1:12" s="14" customFormat="1" ht="22.5">
      <c r="A55" s="1" t="s">
        <v>74</v>
      </c>
      <c r="B55" s="2" t="s">
        <v>75</v>
      </c>
      <c r="C55" s="2" t="s">
        <v>76</v>
      </c>
      <c r="D55" s="1" t="s">
        <v>8</v>
      </c>
      <c r="E55" s="1" t="s">
        <v>255</v>
      </c>
      <c r="F55" s="4">
        <v>41137</v>
      </c>
      <c r="G55" s="4">
        <v>42231</v>
      </c>
      <c r="H55" s="10" t="s">
        <v>9</v>
      </c>
      <c r="I55" s="5">
        <f>6313.95-140.26</f>
        <v>6173.69</v>
      </c>
      <c r="J55" s="5">
        <f>2625.42-126.65+2.81+0.37</f>
        <v>2501.95</v>
      </c>
      <c r="K55" s="5">
        <f t="shared" si="2"/>
        <v>8675.64</v>
      </c>
      <c r="L55" s="6" t="s">
        <v>267</v>
      </c>
    </row>
    <row r="56" spans="1:12" s="14" customFormat="1" ht="12.75">
      <c r="A56" s="3">
        <v>13339</v>
      </c>
      <c r="B56" s="7" t="s">
        <v>281</v>
      </c>
      <c r="C56" s="7" t="s">
        <v>282</v>
      </c>
      <c r="D56" s="3" t="s">
        <v>8</v>
      </c>
      <c r="E56" s="3" t="s">
        <v>255</v>
      </c>
      <c r="F56" s="4">
        <v>41372</v>
      </c>
      <c r="G56" s="4">
        <v>41698</v>
      </c>
      <c r="H56" s="4" t="s">
        <v>9</v>
      </c>
      <c r="I56" s="5">
        <v>988.32</v>
      </c>
      <c r="J56" s="5">
        <v>0.28</v>
      </c>
      <c r="K56" s="5">
        <f t="shared" si="2"/>
        <v>988.6</v>
      </c>
      <c r="L56" s="6" t="s">
        <v>266</v>
      </c>
    </row>
    <row r="57" spans="1:12" s="14" customFormat="1" ht="12.75">
      <c r="A57" s="1" t="s">
        <v>32</v>
      </c>
      <c r="B57" s="2" t="s">
        <v>33</v>
      </c>
      <c r="C57" s="2" t="s">
        <v>34</v>
      </c>
      <c r="D57" s="1" t="s">
        <v>8</v>
      </c>
      <c r="E57" s="1" t="s">
        <v>255</v>
      </c>
      <c r="F57" s="4">
        <v>41554</v>
      </c>
      <c r="G57" s="4">
        <v>42100</v>
      </c>
      <c r="H57" s="10">
        <v>0.7</v>
      </c>
      <c r="I57" s="5">
        <v>4426.17</v>
      </c>
      <c r="J57" s="5">
        <f>1863.73-88.65+0.13</f>
        <v>1775.21</v>
      </c>
      <c r="K57" s="5">
        <f t="shared" si="2"/>
        <v>6201.38</v>
      </c>
      <c r="L57" s="6"/>
    </row>
    <row r="58" spans="1:12" s="14" customFormat="1" ht="12.75">
      <c r="A58" s="1" t="s">
        <v>195</v>
      </c>
      <c r="B58" s="2" t="s">
        <v>196</v>
      </c>
      <c r="C58" s="2" t="s">
        <v>31</v>
      </c>
      <c r="D58" s="1" t="s">
        <v>8</v>
      </c>
      <c r="E58" s="1" t="s">
        <v>255</v>
      </c>
      <c r="F58" s="4">
        <v>41890</v>
      </c>
      <c r="G58" s="4">
        <v>42985</v>
      </c>
      <c r="H58" s="10" t="s">
        <v>9</v>
      </c>
      <c r="I58" s="5">
        <v>1198.21</v>
      </c>
      <c r="J58" s="5">
        <f>503.13-23.96</f>
        <v>479.17</v>
      </c>
      <c r="K58" s="5">
        <f t="shared" si="2"/>
        <v>1677.38</v>
      </c>
      <c r="L58" s="6"/>
    </row>
    <row r="59" spans="1:12" s="14" customFormat="1" ht="12.75">
      <c r="A59" s="1" t="s">
        <v>49</v>
      </c>
      <c r="B59" s="2" t="s">
        <v>50</v>
      </c>
      <c r="C59" s="2" t="s">
        <v>51</v>
      </c>
      <c r="D59" s="1" t="s">
        <v>8</v>
      </c>
      <c r="E59" s="1" t="s">
        <v>255</v>
      </c>
      <c r="F59" s="4">
        <v>41127</v>
      </c>
      <c r="G59" s="4">
        <v>42221</v>
      </c>
      <c r="H59" s="10" t="s">
        <v>9</v>
      </c>
      <c r="I59" s="5">
        <v>6332.21</v>
      </c>
      <c r="J59" s="5">
        <f>2658.89-126.65</f>
        <v>2532.24</v>
      </c>
      <c r="K59" s="5">
        <f t="shared" si="2"/>
        <v>8864.45</v>
      </c>
      <c r="L59" s="6"/>
    </row>
    <row r="60" spans="1:12" s="14" customFormat="1" ht="12.75">
      <c r="A60" s="1" t="s">
        <v>118</v>
      </c>
      <c r="B60" s="2" t="s">
        <v>119</v>
      </c>
      <c r="C60" s="2" t="s">
        <v>120</v>
      </c>
      <c r="D60" s="1" t="s">
        <v>8</v>
      </c>
      <c r="E60" s="1" t="s">
        <v>255</v>
      </c>
      <c r="F60" s="4">
        <v>41275</v>
      </c>
      <c r="G60" s="4">
        <v>42004</v>
      </c>
      <c r="H60" s="10" t="s">
        <v>9</v>
      </c>
      <c r="I60" s="5">
        <v>6304.82</v>
      </c>
      <c r="J60" s="5">
        <f>2691.15-126.65+0.55</f>
        <v>2565.05</v>
      </c>
      <c r="K60" s="5">
        <f t="shared" si="2"/>
        <v>8869.869999999999</v>
      </c>
      <c r="L60" s="6"/>
    </row>
    <row r="61" spans="1:12" s="14" customFormat="1" ht="12.75">
      <c r="A61" s="1" t="s">
        <v>174</v>
      </c>
      <c r="B61" s="2" t="s">
        <v>175</v>
      </c>
      <c r="C61" s="2" t="s">
        <v>176</v>
      </c>
      <c r="D61" s="1" t="s">
        <v>8</v>
      </c>
      <c r="E61" s="1" t="s">
        <v>255</v>
      </c>
      <c r="F61" s="4">
        <v>41491</v>
      </c>
      <c r="G61" s="4">
        <v>42039</v>
      </c>
      <c r="H61" s="10" t="s">
        <v>9</v>
      </c>
      <c r="I61" s="5">
        <v>6332.21</v>
      </c>
      <c r="J61" s="5">
        <f>2680.02-126.65</f>
        <v>2553.37</v>
      </c>
      <c r="K61" s="5">
        <f t="shared" si="2"/>
        <v>8885.58</v>
      </c>
      <c r="L61" s="6"/>
    </row>
    <row r="62" spans="1:12" s="14" customFormat="1" ht="12.75">
      <c r="A62" s="1" t="s">
        <v>46</v>
      </c>
      <c r="B62" s="2" t="s">
        <v>47</v>
      </c>
      <c r="C62" s="2" t="s">
        <v>48</v>
      </c>
      <c r="D62" s="1" t="s">
        <v>8</v>
      </c>
      <c r="E62" s="1" t="s">
        <v>255</v>
      </c>
      <c r="F62" s="4">
        <v>41137</v>
      </c>
      <c r="G62" s="4">
        <v>42231</v>
      </c>
      <c r="H62" s="10" t="s">
        <v>9</v>
      </c>
      <c r="I62" s="5">
        <v>5941.98</v>
      </c>
      <c r="J62" s="5">
        <f>2541.59-121.03+2.2</f>
        <v>2422.7599999999998</v>
      </c>
      <c r="K62" s="5">
        <f t="shared" si="2"/>
        <v>8364.74</v>
      </c>
      <c r="L62" s="6"/>
    </row>
    <row r="63" spans="1:12" s="14" customFormat="1" ht="22.5">
      <c r="A63" s="1" t="s">
        <v>58</v>
      </c>
      <c r="B63" s="2" t="s">
        <v>59</v>
      </c>
      <c r="C63" s="2" t="s">
        <v>60</v>
      </c>
      <c r="D63" s="1" t="s">
        <v>8</v>
      </c>
      <c r="E63" s="1" t="s">
        <v>255</v>
      </c>
      <c r="F63" s="4">
        <v>41379</v>
      </c>
      <c r="G63" s="4">
        <v>42474</v>
      </c>
      <c r="H63" s="10" t="s">
        <v>9</v>
      </c>
      <c r="I63" s="5">
        <v>6975.89</v>
      </c>
      <c r="J63" s="5">
        <f>2692.53-126.65+0.09</f>
        <v>2565.9700000000003</v>
      </c>
      <c r="K63" s="5">
        <f t="shared" si="2"/>
        <v>9541.86</v>
      </c>
      <c r="L63" s="6" t="s">
        <v>285</v>
      </c>
    </row>
    <row r="64" spans="1:12" s="14" customFormat="1" ht="12.75">
      <c r="A64" s="1" t="s">
        <v>61</v>
      </c>
      <c r="B64" s="2" t="s">
        <v>62</v>
      </c>
      <c r="C64" s="2" t="s">
        <v>63</v>
      </c>
      <c r="D64" s="1" t="s">
        <v>8</v>
      </c>
      <c r="E64" s="1" t="s">
        <v>255</v>
      </c>
      <c r="F64" s="4">
        <v>41137</v>
      </c>
      <c r="G64" s="4">
        <v>42231</v>
      </c>
      <c r="H64" s="10" t="s">
        <v>9</v>
      </c>
      <c r="I64" s="5">
        <v>6332.21</v>
      </c>
      <c r="J64" s="5">
        <f>2702.31-126.65</f>
        <v>2575.66</v>
      </c>
      <c r="K64" s="5">
        <f t="shared" si="2"/>
        <v>8907.869999999999</v>
      </c>
      <c r="L64" s="6"/>
    </row>
    <row r="65" spans="1:12" s="14" customFormat="1" ht="12.75">
      <c r="A65" s="1" t="s">
        <v>130</v>
      </c>
      <c r="B65" s="2" t="s">
        <v>131</v>
      </c>
      <c r="C65" s="2" t="s">
        <v>31</v>
      </c>
      <c r="D65" s="1" t="s">
        <v>8</v>
      </c>
      <c r="E65" s="1" t="s">
        <v>255</v>
      </c>
      <c r="F65" s="4">
        <v>41312</v>
      </c>
      <c r="G65" s="4">
        <v>42406</v>
      </c>
      <c r="H65" s="10" t="s">
        <v>9</v>
      </c>
      <c r="I65" s="5">
        <v>5674.78</v>
      </c>
      <c r="J65" s="5">
        <f>2423.31-113.5</f>
        <v>2309.81</v>
      </c>
      <c r="K65" s="5">
        <f t="shared" si="2"/>
        <v>7984.59</v>
      </c>
      <c r="L65" s="6"/>
    </row>
    <row r="66" spans="1:12" s="14" customFormat="1" ht="12.75">
      <c r="A66" s="1" t="s">
        <v>38</v>
      </c>
      <c r="B66" s="2" t="s">
        <v>39</v>
      </c>
      <c r="C66" s="2" t="s">
        <v>40</v>
      </c>
      <c r="D66" s="1" t="s">
        <v>8</v>
      </c>
      <c r="E66" s="1" t="s">
        <v>255</v>
      </c>
      <c r="F66" s="4">
        <v>41225</v>
      </c>
      <c r="G66" s="4">
        <v>42319</v>
      </c>
      <c r="H66" s="10" t="s">
        <v>9</v>
      </c>
      <c r="I66" s="5">
        <v>6304.82</v>
      </c>
      <c r="J66" s="5">
        <f>2693.5-126.65+0.55</f>
        <v>2567.4</v>
      </c>
      <c r="K66" s="5">
        <f t="shared" si="2"/>
        <v>8872.22</v>
      </c>
      <c r="L66" s="6"/>
    </row>
    <row r="67" spans="1:12" s="14" customFormat="1" ht="12.75">
      <c r="A67" s="1" t="s">
        <v>211</v>
      </c>
      <c r="B67" s="2" t="s">
        <v>212</v>
      </c>
      <c r="C67" s="2" t="s">
        <v>213</v>
      </c>
      <c r="D67" s="1" t="s">
        <v>8</v>
      </c>
      <c r="E67" s="1" t="s">
        <v>255</v>
      </c>
      <c r="F67" s="4">
        <v>41464</v>
      </c>
      <c r="G67" s="4">
        <v>42071</v>
      </c>
      <c r="H67" s="10" t="s">
        <v>9</v>
      </c>
      <c r="I67" s="5">
        <v>6332.21</v>
      </c>
      <c r="J67" s="5">
        <v>2139.66</v>
      </c>
      <c r="K67" s="5">
        <f t="shared" si="2"/>
        <v>8471.869999999999</v>
      </c>
      <c r="L67" s="6"/>
    </row>
    <row r="68" spans="1:12" s="14" customFormat="1" ht="45">
      <c r="A68" s="1" t="s">
        <v>193</v>
      </c>
      <c r="B68" s="2" t="s">
        <v>194</v>
      </c>
      <c r="C68" s="2" t="s">
        <v>80</v>
      </c>
      <c r="D68" s="1" t="s">
        <v>8</v>
      </c>
      <c r="E68" s="1" t="s">
        <v>255</v>
      </c>
      <c r="F68" s="4">
        <v>41491</v>
      </c>
      <c r="G68" s="4">
        <v>42039</v>
      </c>
      <c r="H68" s="10" t="s">
        <v>9</v>
      </c>
      <c r="I68" s="5">
        <v>6523.29</v>
      </c>
      <c r="J68" s="5">
        <f>2675.92-126.65</f>
        <v>2549.27</v>
      </c>
      <c r="K68" s="5">
        <f t="shared" si="2"/>
        <v>9072.56</v>
      </c>
      <c r="L68" s="6" t="s">
        <v>286</v>
      </c>
    </row>
    <row r="69" spans="1:12" s="14" customFormat="1" ht="12.75">
      <c r="A69" s="1" t="s">
        <v>104</v>
      </c>
      <c r="B69" s="2" t="s">
        <v>105</v>
      </c>
      <c r="C69" s="2" t="s">
        <v>106</v>
      </c>
      <c r="D69" s="1" t="s">
        <v>8</v>
      </c>
      <c r="E69" s="1" t="s">
        <v>255</v>
      </c>
      <c r="F69" s="4">
        <v>41347</v>
      </c>
      <c r="G69" s="4">
        <v>42442</v>
      </c>
      <c r="H69" s="10" t="s">
        <v>9</v>
      </c>
      <c r="I69" s="5">
        <v>6332.21</v>
      </c>
      <c r="J69" s="5">
        <f>2700.54-126.65</f>
        <v>2573.89</v>
      </c>
      <c r="K69" s="5">
        <f t="shared" si="2"/>
        <v>8906.1</v>
      </c>
      <c r="L69" s="6"/>
    </row>
    <row r="70" spans="1:12" s="14" customFormat="1" ht="12.75">
      <c r="A70" s="1" t="s">
        <v>166</v>
      </c>
      <c r="B70" s="2" t="s">
        <v>167</v>
      </c>
      <c r="C70" s="2" t="s">
        <v>137</v>
      </c>
      <c r="D70" s="1" t="s">
        <v>8</v>
      </c>
      <c r="E70" s="1" t="s">
        <v>255</v>
      </c>
      <c r="F70" s="4">
        <v>41137</v>
      </c>
      <c r="G70" s="4">
        <v>42231</v>
      </c>
      <c r="H70" s="10" t="s">
        <v>9</v>
      </c>
      <c r="I70" s="5">
        <v>6332.21</v>
      </c>
      <c r="J70" s="5">
        <f>2709.94-126.65</f>
        <v>2583.29</v>
      </c>
      <c r="K70" s="5">
        <f t="shared" si="2"/>
        <v>8915.5</v>
      </c>
      <c r="L70" s="6"/>
    </row>
    <row r="71" spans="1:12" s="14" customFormat="1" ht="12.75">
      <c r="A71" s="1" t="s">
        <v>182</v>
      </c>
      <c r="B71" s="2" t="s">
        <v>183</v>
      </c>
      <c r="C71" s="2" t="s">
        <v>184</v>
      </c>
      <c r="D71" s="1" t="s">
        <v>8</v>
      </c>
      <c r="E71" s="1" t="s">
        <v>255</v>
      </c>
      <c r="F71" s="4">
        <v>41312</v>
      </c>
      <c r="G71" s="4">
        <v>42041</v>
      </c>
      <c r="H71" s="10" t="s">
        <v>9</v>
      </c>
      <c r="I71" s="5">
        <v>6332.21</v>
      </c>
      <c r="J71" s="5">
        <f>2658.89-126.65</f>
        <v>2532.24</v>
      </c>
      <c r="K71" s="5">
        <f t="shared" si="2"/>
        <v>8864.45</v>
      </c>
      <c r="L71" s="6"/>
    </row>
    <row r="72" spans="1:12" s="14" customFormat="1" ht="12.75">
      <c r="A72" s="1" t="s">
        <v>17</v>
      </c>
      <c r="B72" s="2" t="s">
        <v>18</v>
      </c>
      <c r="C72" s="2" t="s">
        <v>19</v>
      </c>
      <c r="D72" s="1" t="s">
        <v>8</v>
      </c>
      <c r="E72" s="1" t="s">
        <v>255</v>
      </c>
      <c r="F72" s="4">
        <v>41155</v>
      </c>
      <c r="G72" s="4">
        <v>42249</v>
      </c>
      <c r="H72" s="10" t="s">
        <v>9</v>
      </c>
      <c r="I72" s="5">
        <v>5793.48</v>
      </c>
      <c r="J72" s="5">
        <f>2486.64-115.88</f>
        <v>2370.7599999999998</v>
      </c>
      <c r="K72" s="5">
        <f t="shared" si="2"/>
        <v>8164.24</v>
      </c>
      <c r="L72" s="6"/>
    </row>
    <row r="73" spans="1:12" s="14" customFormat="1" ht="12.75">
      <c r="A73" s="3">
        <v>13352</v>
      </c>
      <c r="B73" s="7" t="s">
        <v>287</v>
      </c>
      <c r="C73" s="7" t="s">
        <v>288</v>
      </c>
      <c r="D73" s="3" t="s">
        <v>8</v>
      </c>
      <c r="E73" s="3" t="s">
        <v>255</v>
      </c>
      <c r="F73" s="4">
        <v>41396</v>
      </c>
      <c r="G73" s="4">
        <v>41698</v>
      </c>
      <c r="H73" s="4" t="s">
        <v>9</v>
      </c>
      <c r="I73" s="5">
        <v>897.46</v>
      </c>
      <c r="J73" s="5">
        <v>0.25</v>
      </c>
      <c r="K73" s="5">
        <f t="shared" si="2"/>
        <v>897.71</v>
      </c>
      <c r="L73" s="6" t="s">
        <v>266</v>
      </c>
    </row>
    <row r="74" spans="1:12" s="14" customFormat="1" ht="12.75">
      <c r="A74" s="1" t="s">
        <v>35</v>
      </c>
      <c r="B74" s="2" t="s">
        <v>36</v>
      </c>
      <c r="C74" s="2" t="s">
        <v>37</v>
      </c>
      <c r="D74" s="1" t="s">
        <v>8</v>
      </c>
      <c r="E74" s="1" t="s">
        <v>255</v>
      </c>
      <c r="F74" s="4">
        <v>41297</v>
      </c>
      <c r="G74" s="4">
        <v>42026</v>
      </c>
      <c r="H74" s="10" t="s">
        <v>9</v>
      </c>
      <c r="I74" s="5">
        <v>6332.21</v>
      </c>
      <c r="J74" s="5">
        <f>2669.46-126.65</f>
        <v>2542.81</v>
      </c>
      <c r="K74" s="5">
        <f aca="true" t="shared" si="3" ref="K74:K81">I74+J74</f>
        <v>8875.02</v>
      </c>
      <c r="L74" s="6"/>
    </row>
    <row r="75" spans="1:12" s="14" customFormat="1" ht="22.5">
      <c r="A75" s="1" t="s">
        <v>205</v>
      </c>
      <c r="B75" s="2" t="s">
        <v>206</v>
      </c>
      <c r="C75" s="2" t="s">
        <v>57</v>
      </c>
      <c r="D75" s="1" t="s">
        <v>8</v>
      </c>
      <c r="E75" s="1" t="s">
        <v>255</v>
      </c>
      <c r="F75" s="4">
        <v>41757</v>
      </c>
      <c r="G75" s="4">
        <v>42304</v>
      </c>
      <c r="H75" s="10">
        <v>0.7</v>
      </c>
      <c r="I75" s="5">
        <v>4247.95</v>
      </c>
      <c r="J75" s="5">
        <f>1704.2-81.17</f>
        <v>1623.03</v>
      </c>
      <c r="K75" s="5">
        <f t="shared" si="3"/>
        <v>5870.98</v>
      </c>
      <c r="L75" s="6" t="s">
        <v>289</v>
      </c>
    </row>
    <row r="76" spans="1:12" s="14" customFormat="1" ht="12.75">
      <c r="A76" s="1" t="s">
        <v>78</v>
      </c>
      <c r="B76" s="2" t="s">
        <v>79</v>
      </c>
      <c r="C76" s="2" t="s">
        <v>80</v>
      </c>
      <c r="D76" s="1" t="s">
        <v>8</v>
      </c>
      <c r="E76" s="1" t="s">
        <v>255</v>
      </c>
      <c r="F76" s="4">
        <v>41827</v>
      </c>
      <c r="G76" s="4">
        <v>42557</v>
      </c>
      <c r="H76" s="10" t="s">
        <v>9</v>
      </c>
      <c r="I76" s="5">
        <v>5170.45</v>
      </c>
      <c r="J76" s="5">
        <f>2171.05-103.42</f>
        <v>2067.63</v>
      </c>
      <c r="K76" s="5">
        <f t="shared" si="3"/>
        <v>7238.08</v>
      </c>
      <c r="L76" s="6"/>
    </row>
    <row r="77" spans="1:12" s="14" customFormat="1" ht="12.75">
      <c r="A77" s="3">
        <v>13337</v>
      </c>
      <c r="B77" s="7" t="s">
        <v>290</v>
      </c>
      <c r="C77" s="7" t="s">
        <v>86</v>
      </c>
      <c r="D77" s="3" t="s">
        <v>8</v>
      </c>
      <c r="E77" s="3" t="s">
        <v>255</v>
      </c>
      <c r="F77" s="4">
        <v>41737</v>
      </c>
      <c r="G77" s="4">
        <v>41698</v>
      </c>
      <c r="H77" s="4" t="s">
        <v>9</v>
      </c>
      <c r="I77" s="5">
        <v>988.19</v>
      </c>
      <c r="J77" s="5">
        <v>0.28</v>
      </c>
      <c r="K77" s="5">
        <f t="shared" si="3"/>
        <v>988.47</v>
      </c>
      <c r="L77" s="6" t="s">
        <v>266</v>
      </c>
    </row>
    <row r="78" spans="1:12" s="14" customFormat="1" ht="12.75">
      <c r="A78" s="3">
        <v>13364</v>
      </c>
      <c r="B78" s="7" t="s">
        <v>291</v>
      </c>
      <c r="C78" s="7" t="s">
        <v>292</v>
      </c>
      <c r="D78" s="3" t="s">
        <v>8</v>
      </c>
      <c r="E78" s="3" t="s">
        <v>255</v>
      </c>
      <c r="F78" s="4">
        <v>41431</v>
      </c>
      <c r="G78" s="4">
        <v>41698</v>
      </c>
      <c r="H78" s="4" t="s">
        <v>9</v>
      </c>
      <c r="I78" s="5">
        <v>807.96</v>
      </c>
      <c r="J78" s="5">
        <v>0.22</v>
      </c>
      <c r="K78" s="5">
        <f t="shared" si="3"/>
        <v>808.1800000000001</v>
      </c>
      <c r="L78" s="6" t="s">
        <v>266</v>
      </c>
    </row>
    <row r="79" spans="1:12" s="14" customFormat="1" ht="12.75">
      <c r="A79" s="1" t="s">
        <v>115</v>
      </c>
      <c r="B79" s="2" t="s">
        <v>116</v>
      </c>
      <c r="C79" s="2" t="s">
        <v>117</v>
      </c>
      <c r="D79" s="1" t="s">
        <v>8</v>
      </c>
      <c r="E79" s="1" t="s">
        <v>255</v>
      </c>
      <c r="F79" s="4">
        <v>41498</v>
      </c>
      <c r="G79" s="4">
        <v>42046</v>
      </c>
      <c r="H79" s="10" t="s">
        <v>9</v>
      </c>
      <c r="I79" s="5">
        <v>6300.25</v>
      </c>
      <c r="J79" s="5">
        <f>2667.29-126.65+0.64</f>
        <v>2541.2799999999997</v>
      </c>
      <c r="K79" s="5">
        <f t="shared" si="3"/>
        <v>8841.529999999999</v>
      </c>
      <c r="L79" s="6"/>
    </row>
    <row r="80" spans="1:12" s="14" customFormat="1" ht="22.5">
      <c r="A80" s="1" t="s">
        <v>172</v>
      </c>
      <c r="B80" s="2" t="s">
        <v>173</v>
      </c>
      <c r="C80" s="2" t="s">
        <v>22</v>
      </c>
      <c r="D80" s="1" t="s">
        <v>8</v>
      </c>
      <c r="E80" s="1" t="s">
        <v>255</v>
      </c>
      <c r="F80" s="4">
        <v>41137</v>
      </c>
      <c r="G80" s="4">
        <v>42231</v>
      </c>
      <c r="H80" s="10" t="s">
        <v>9</v>
      </c>
      <c r="I80" s="5">
        <f>6332.21-80.15</f>
        <v>6252.06</v>
      </c>
      <c r="J80" s="5">
        <f>2659.87-126.65+1.6</f>
        <v>2534.8199999999997</v>
      </c>
      <c r="K80" s="5">
        <f t="shared" si="3"/>
        <v>8786.880000000001</v>
      </c>
      <c r="L80" s="6" t="s">
        <v>293</v>
      </c>
    </row>
    <row r="81" spans="1:12" s="14" customFormat="1" ht="12.75">
      <c r="A81" s="1">
        <v>13338</v>
      </c>
      <c r="B81" s="2" t="s">
        <v>271</v>
      </c>
      <c r="C81" s="2" t="s">
        <v>272</v>
      </c>
      <c r="D81" s="3" t="s">
        <v>8</v>
      </c>
      <c r="E81" s="3" t="s">
        <v>273</v>
      </c>
      <c r="F81" s="4">
        <v>41372</v>
      </c>
      <c r="G81" s="4">
        <v>41698</v>
      </c>
      <c r="H81" s="4" t="s">
        <v>9</v>
      </c>
      <c r="I81" s="5">
        <v>988.27</v>
      </c>
      <c r="J81" s="5">
        <v>0.28</v>
      </c>
      <c r="K81" s="5">
        <f t="shared" si="3"/>
        <v>988.55</v>
      </c>
      <c r="L81" s="6" t="s">
        <v>266</v>
      </c>
    </row>
    <row r="82" spans="1:12" s="14" customFormat="1" ht="24.75" customHeight="1">
      <c r="A82" s="33" t="s">
        <v>300</v>
      </c>
      <c r="B82" s="33"/>
      <c r="C82" s="33"/>
      <c r="D82" s="33"/>
      <c r="E82" s="33"/>
      <c r="F82" s="33"/>
      <c r="G82" s="33"/>
      <c r="H82" s="33"/>
      <c r="I82" s="13">
        <f>SUM(I10:I81)</f>
        <v>368146.1600000002</v>
      </c>
      <c r="J82" s="13">
        <f>SUM(J10:J81)</f>
        <v>145292.20000000004</v>
      </c>
      <c r="K82" s="13">
        <f>SUM(K10:K81)</f>
        <v>513438.3599999999</v>
      </c>
      <c r="L82" s="6"/>
    </row>
    <row r="83" spans="1:12" s="14" customFormat="1" ht="38.25">
      <c r="A83" s="1" t="s">
        <v>228</v>
      </c>
      <c r="B83" s="7" t="s">
        <v>229</v>
      </c>
      <c r="C83" s="2" t="s">
        <v>230</v>
      </c>
      <c r="D83" s="1" t="s">
        <v>256</v>
      </c>
      <c r="E83" s="1" t="s">
        <v>256</v>
      </c>
      <c r="F83" s="4">
        <v>41031</v>
      </c>
      <c r="G83" s="4">
        <v>42125</v>
      </c>
      <c r="H83" s="10" t="s">
        <v>9</v>
      </c>
      <c r="I83" s="5">
        <v>3649.41</v>
      </c>
      <c r="J83" s="5">
        <v>1240.53</v>
      </c>
      <c r="K83" s="5">
        <f aca="true" t="shared" si="4" ref="K83:K96">I83+J83</f>
        <v>4889.94</v>
      </c>
      <c r="L83" s="6"/>
    </row>
    <row r="84" spans="1:12" s="14" customFormat="1" ht="12.75">
      <c r="A84" s="1" t="s">
        <v>247</v>
      </c>
      <c r="B84" s="2" t="s">
        <v>248</v>
      </c>
      <c r="C84" s="2" t="s">
        <v>249</v>
      </c>
      <c r="D84" s="1" t="s">
        <v>256</v>
      </c>
      <c r="E84" s="1" t="s">
        <v>256</v>
      </c>
      <c r="F84" s="4">
        <v>41521</v>
      </c>
      <c r="G84" s="4">
        <v>42250</v>
      </c>
      <c r="H84" s="10" t="s">
        <v>9</v>
      </c>
      <c r="I84" s="5">
        <v>3649.41</v>
      </c>
      <c r="J84" s="5">
        <v>1240.53</v>
      </c>
      <c r="K84" s="5">
        <f t="shared" si="4"/>
        <v>4889.94</v>
      </c>
      <c r="L84" s="6"/>
    </row>
    <row r="85" spans="1:12" s="14" customFormat="1" ht="12.75">
      <c r="A85" s="1" t="s">
        <v>222</v>
      </c>
      <c r="B85" s="2" t="s">
        <v>223</v>
      </c>
      <c r="C85" s="2" t="s">
        <v>224</v>
      </c>
      <c r="D85" s="1" t="s">
        <v>256</v>
      </c>
      <c r="E85" s="1" t="s">
        <v>256</v>
      </c>
      <c r="F85" s="4">
        <v>41732</v>
      </c>
      <c r="G85" s="4">
        <v>42096</v>
      </c>
      <c r="H85" s="10" t="s">
        <v>9</v>
      </c>
      <c r="I85" s="5">
        <v>3649.41</v>
      </c>
      <c r="J85" s="5">
        <v>1240.53</v>
      </c>
      <c r="K85" s="5">
        <f t="shared" si="4"/>
        <v>4889.94</v>
      </c>
      <c r="L85" s="6"/>
    </row>
    <row r="86" spans="1:12" s="14" customFormat="1" ht="22.5">
      <c r="A86" s="1" t="s">
        <v>219</v>
      </c>
      <c r="B86" s="2" t="s">
        <v>220</v>
      </c>
      <c r="C86" s="2" t="s">
        <v>221</v>
      </c>
      <c r="D86" s="1" t="s">
        <v>256</v>
      </c>
      <c r="E86" s="1" t="s">
        <v>256</v>
      </c>
      <c r="F86" s="4">
        <v>41527</v>
      </c>
      <c r="G86" s="4">
        <v>42256</v>
      </c>
      <c r="H86" s="10" t="s">
        <v>9</v>
      </c>
      <c r="I86" s="5">
        <v>4145.91</v>
      </c>
      <c r="J86" s="5">
        <v>951.05</v>
      </c>
      <c r="K86" s="5">
        <f t="shared" si="4"/>
        <v>5096.96</v>
      </c>
      <c r="L86" s="6" t="s">
        <v>274</v>
      </c>
    </row>
    <row r="87" spans="1:12" s="14" customFormat="1" ht="25.5">
      <c r="A87" s="1" t="s">
        <v>234</v>
      </c>
      <c r="B87" s="2" t="s">
        <v>235</v>
      </c>
      <c r="C87" s="2" t="s">
        <v>236</v>
      </c>
      <c r="D87" s="1" t="s">
        <v>256</v>
      </c>
      <c r="E87" s="1" t="s">
        <v>256</v>
      </c>
      <c r="F87" s="4">
        <v>41205</v>
      </c>
      <c r="G87" s="4">
        <v>42299</v>
      </c>
      <c r="H87" s="10" t="s">
        <v>9</v>
      </c>
      <c r="I87" s="5">
        <v>3649.41</v>
      </c>
      <c r="J87" s="5">
        <v>1240.53</v>
      </c>
      <c r="K87" s="5">
        <f t="shared" si="4"/>
        <v>4889.94</v>
      </c>
      <c r="L87" s="6"/>
    </row>
    <row r="88" spans="1:12" s="14" customFormat="1" ht="12.75">
      <c r="A88" s="1" t="s">
        <v>242</v>
      </c>
      <c r="B88" s="2" t="s">
        <v>243</v>
      </c>
      <c r="C88" s="2" t="s">
        <v>244</v>
      </c>
      <c r="D88" s="1" t="s">
        <v>256</v>
      </c>
      <c r="E88" s="15" t="s">
        <v>256</v>
      </c>
      <c r="F88" s="4">
        <v>41213</v>
      </c>
      <c r="G88" s="4">
        <v>42307</v>
      </c>
      <c r="H88" s="10" t="s">
        <v>9</v>
      </c>
      <c r="I88" s="5">
        <v>3649.41</v>
      </c>
      <c r="J88" s="5">
        <v>1240.53</v>
      </c>
      <c r="K88" s="5">
        <f t="shared" si="4"/>
        <v>4889.94</v>
      </c>
      <c r="L88" s="6"/>
    </row>
    <row r="89" spans="1:12" s="14" customFormat="1" ht="12.75">
      <c r="A89" s="1" t="s">
        <v>231</v>
      </c>
      <c r="B89" s="2" t="s">
        <v>232</v>
      </c>
      <c r="C89" s="2" t="s">
        <v>233</v>
      </c>
      <c r="D89" s="1" t="s">
        <v>256</v>
      </c>
      <c r="E89" s="1" t="s">
        <v>256</v>
      </c>
      <c r="F89" s="4">
        <v>40819</v>
      </c>
      <c r="G89" s="4">
        <v>41822</v>
      </c>
      <c r="H89" s="10" t="s">
        <v>9</v>
      </c>
      <c r="I89" s="5">
        <v>689.33</v>
      </c>
      <c r="J89" s="5">
        <v>231.58</v>
      </c>
      <c r="K89" s="5">
        <f t="shared" si="4"/>
        <v>920.9100000000001</v>
      </c>
      <c r="L89" s="6"/>
    </row>
    <row r="90" spans="1:12" s="14" customFormat="1" ht="12.75">
      <c r="A90" s="3" t="s">
        <v>240</v>
      </c>
      <c r="B90" s="2" t="s">
        <v>241</v>
      </c>
      <c r="C90" s="2" t="s">
        <v>140</v>
      </c>
      <c r="D90" s="3" t="s">
        <v>256</v>
      </c>
      <c r="E90" s="3" t="s">
        <v>256</v>
      </c>
      <c r="F90" s="4">
        <v>41155</v>
      </c>
      <c r="G90" s="4">
        <v>41700</v>
      </c>
      <c r="H90" s="4" t="s">
        <v>9</v>
      </c>
      <c r="I90" s="5">
        <v>1648.54</v>
      </c>
      <c r="J90" s="5">
        <v>0.51</v>
      </c>
      <c r="K90" s="5">
        <f t="shared" si="4"/>
        <v>1649.05</v>
      </c>
      <c r="L90" s="6" t="s">
        <v>266</v>
      </c>
    </row>
    <row r="91" spans="1:12" s="14" customFormat="1" ht="12.75">
      <c r="A91" s="1" t="s">
        <v>240</v>
      </c>
      <c r="B91" s="2" t="s">
        <v>241</v>
      </c>
      <c r="C91" s="2" t="s">
        <v>140</v>
      </c>
      <c r="D91" s="1" t="s">
        <v>256</v>
      </c>
      <c r="E91" s="1" t="s">
        <v>256</v>
      </c>
      <c r="F91" s="4">
        <v>41764</v>
      </c>
      <c r="G91" s="4">
        <v>42312</v>
      </c>
      <c r="H91" s="10" t="s">
        <v>9</v>
      </c>
      <c r="I91" s="5">
        <v>3649.41</v>
      </c>
      <c r="J91" s="5">
        <v>1240.53</v>
      </c>
      <c r="K91" s="5">
        <f t="shared" si="4"/>
        <v>4889.94</v>
      </c>
      <c r="L91" s="6"/>
    </row>
    <row r="92" spans="1:12" s="14" customFormat="1" ht="12.75">
      <c r="A92" s="1" t="s">
        <v>250</v>
      </c>
      <c r="B92" s="2" t="s">
        <v>251</v>
      </c>
      <c r="C92" s="7" t="s">
        <v>252</v>
      </c>
      <c r="D92" s="1" t="s">
        <v>256</v>
      </c>
      <c r="E92" s="1" t="s">
        <v>256</v>
      </c>
      <c r="F92" s="4">
        <v>41523</v>
      </c>
      <c r="G92" s="4">
        <v>42252</v>
      </c>
      <c r="H92" s="10" t="s">
        <v>9</v>
      </c>
      <c r="I92" s="5">
        <v>3649.41</v>
      </c>
      <c r="J92" s="5">
        <v>1240.53</v>
      </c>
      <c r="K92" s="5">
        <f t="shared" si="4"/>
        <v>4889.94</v>
      </c>
      <c r="L92" s="6"/>
    </row>
    <row r="93" spans="1:12" s="14" customFormat="1" ht="12.75">
      <c r="A93" s="1" t="s">
        <v>245</v>
      </c>
      <c r="B93" s="2" t="s">
        <v>246</v>
      </c>
      <c r="C93" s="2" t="s">
        <v>178</v>
      </c>
      <c r="D93" s="1" t="s">
        <v>256</v>
      </c>
      <c r="E93" s="1" t="s">
        <v>256</v>
      </c>
      <c r="F93" s="4">
        <v>41519</v>
      </c>
      <c r="G93" s="4">
        <v>41883</v>
      </c>
      <c r="H93" s="10" t="s">
        <v>9</v>
      </c>
      <c r="I93" s="5">
        <v>2473.49</v>
      </c>
      <c r="J93" s="5">
        <v>840.75</v>
      </c>
      <c r="K93" s="5">
        <f t="shared" si="4"/>
        <v>3314.24</v>
      </c>
      <c r="L93" s="6"/>
    </row>
    <row r="94" spans="1:12" s="14" customFormat="1" ht="12.75">
      <c r="A94" s="1" t="s">
        <v>225</v>
      </c>
      <c r="B94" s="2" t="s">
        <v>226</v>
      </c>
      <c r="C94" s="2" t="s">
        <v>227</v>
      </c>
      <c r="D94" s="1" t="s">
        <v>256</v>
      </c>
      <c r="E94" s="1" t="s">
        <v>256</v>
      </c>
      <c r="F94" s="4">
        <v>41521</v>
      </c>
      <c r="G94" s="4">
        <v>42250</v>
      </c>
      <c r="H94" s="10" t="s">
        <v>9</v>
      </c>
      <c r="I94" s="5">
        <v>3649.41</v>
      </c>
      <c r="J94" s="5">
        <v>1240.53</v>
      </c>
      <c r="K94" s="5">
        <f t="shared" si="4"/>
        <v>4889.94</v>
      </c>
      <c r="L94" s="6"/>
    </row>
    <row r="95" spans="1:12" s="14" customFormat="1" ht="12.75">
      <c r="A95" s="1" t="s">
        <v>217</v>
      </c>
      <c r="B95" s="2" t="s">
        <v>218</v>
      </c>
      <c r="C95" s="2" t="s">
        <v>152</v>
      </c>
      <c r="D95" s="1" t="s">
        <v>256</v>
      </c>
      <c r="E95" s="1" t="s">
        <v>256</v>
      </c>
      <c r="F95" s="4">
        <v>41521</v>
      </c>
      <c r="G95" s="4">
        <v>42250</v>
      </c>
      <c r="H95" s="10" t="s">
        <v>9</v>
      </c>
      <c r="I95" s="5">
        <v>3649.41</v>
      </c>
      <c r="J95" s="5">
        <v>1240.53</v>
      </c>
      <c r="K95" s="5">
        <f t="shared" si="4"/>
        <v>4889.94</v>
      </c>
      <c r="L95" s="6"/>
    </row>
    <row r="96" spans="1:12" s="14" customFormat="1" ht="12.75">
      <c r="A96" s="1" t="s">
        <v>237</v>
      </c>
      <c r="B96" s="2" t="s">
        <v>238</v>
      </c>
      <c r="C96" s="2" t="s">
        <v>239</v>
      </c>
      <c r="D96" s="1" t="s">
        <v>256</v>
      </c>
      <c r="E96" s="1" t="s">
        <v>256</v>
      </c>
      <c r="F96" s="4">
        <v>41213</v>
      </c>
      <c r="G96" s="4">
        <v>41851</v>
      </c>
      <c r="H96" s="10" t="s">
        <v>9</v>
      </c>
      <c r="I96" s="5">
        <v>1926.09</v>
      </c>
      <c r="J96" s="5">
        <v>651.83</v>
      </c>
      <c r="K96" s="5">
        <f t="shared" si="4"/>
        <v>2577.92</v>
      </c>
      <c r="L96" s="6" t="s">
        <v>294</v>
      </c>
    </row>
    <row r="97" spans="1:12" s="14" customFormat="1" ht="24.75" customHeight="1">
      <c r="A97" s="33" t="s">
        <v>301</v>
      </c>
      <c r="B97" s="33"/>
      <c r="C97" s="33"/>
      <c r="D97" s="33"/>
      <c r="E97" s="33"/>
      <c r="F97" s="33"/>
      <c r="G97" s="33"/>
      <c r="H97" s="33"/>
      <c r="I97" s="13">
        <f>SUM(I83:I96)</f>
        <v>43728.05</v>
      </c>
      <c r="J97" s="13">
        <f>SUM(J83:J96)</f>
        <v>13840.490000000002</v>
      </c>
      <c r="K97" s="13">
        <f>SUM(K83:K96)</f>
        <v>57568.54</v>
      </c>
      <c r="L97" s="6"/>
    </row>
    <row r="98" spans="1:12" s="14" customFormat="1" ht="22.5">
      <c r="A98" s="1" t="s">
        <v>197</v>
      </c>
      <c r="B98" s="2" t="s">
        <v>148</v>
      </c>
      <c r="C98" s="2" t="s">
        <v>198</v>
      </c>
      <c r="D98" s="1" t="s">
        <v>77</v>
      </c>
      <c r="E98" s="1" t="s">
        <v>259</v>
      </c>
      <c r="F98" s="4">
        <v>41366</v>
      </c>
      <c r="G98" s="4">
        <v>42461</v>
      </c>
      <c r="H98" s="10" t="s">
        <v>9</v>
      </c>
      <c r="I98" s="5">
        <v>8023.74</v>
      </c>
      <c r="J98" s="5">
        <f>3324.55-156.71+0.26</f>
        <v>3168.1000000000004</v>
      </c>
      <c r="K98" s="5">
        <f>I98+J98</f>
        <v>11191.84</v>
      </c>
      <c r="L98" s="6" t="s">
        <v>278</v>
      </c>
    </row>
    <row r="99" spans="1:12" s="14" customFormat="1" ht="12.75">
      <c r="A99" s="1" t="s">
        <v>207</v>
      </c>
      <c r="B99" s="2" t="s">
        <v>208</v>
      </c>
      <c r="C99" s="2" t="s">
        <v>168</v>
      </c>
      <c r="D99" s="1" t="s">
        <v>77</v>
      </c>
      <c r="E99" s="1" t="s">
        <v>259</v>
      </c>
      <c r="F99" s="4">
        <v>41883</v>
      </c>
      <c r="G99" s="4">
        <v>42978</v>
      </c>
      <c r="H99" s="10">
        <v>0.3333</v>
      </c>
      <c r="I99" s="5">
        <v>609.48</v>
      </c>
      <c r="J99" s="5">
        <f>255.91-12.19</f>
        <v>243.72</v>
      </c>
      <c r="K99" s="5">
        <f>I99+J99</f>
        <v>853.2</v>
      </c>
      <c r="L99" s="6"/>
    </row>
    <row r="100" spans="1:12" s="14" customFormat="1" ht="12.75">
      <c r="A100" s="1" t="s">
        <v>187</v>
      </c>
      <c r="B100" s="2" t="s">
        <v>188</v>
      </c>
      <c r="C100" s="2" t="s">
        <v>189</v>
      </c>
      <c r="D100" s="1" t="s">
        <v>77</v>
      </c>
      <c r="E100" s="1" t="s">
        <v>259</v>
      </c>
      <c r="F100" s="4">
        <v>41304</v>
      </c>
      <c r="G100" s="4">
        <v>42398</v>
      </c>
      <c r="H100" s="10" t="s">
        <v>9</v>
      </c>
      <c r="I100" s="5">
        <v>7835.86</v>
      </c>
      <c r="J100" s="5">
        <f>3327.84-156.71</f>
        <v>3171.13</v>
      </c>
      <c r="K100" s="5">
        <f>I100+J100</f>
        <v>11006.99</v>
      </c>
      <c r="L100" s="6"/>
    </row>
    <row r="101" spans="1:12" s="14" customFormat="1" ht="12.75">
      <c r="A101" s="1" t="s">
        <v>141</v>
      </c>
      <c r="B101" s="2" t="s">
        <v>142</v>
      </c>
      <c r="C101" s="2" t="s">
        <v>143</v>
      </c>
      <c r="D101" s="1" t="s">
        <v>77</v>
      </c>
      <c r="E101" s="1" t="s">
        <v>259</v>
      </c>
      <c r="F101" s="4">
        <v>41183</v>
      </c>
      <c r="G101" s="4">
        <v>42277</v>
      </c>
      <c r="H101" s="10" t="s">
        <v>9</v>
      </c>
      <c r="I101" s="5">
        <v>7835.86</v>
      </c>
      <c r="J101" s="5">
        <f>3340.16-156.71</f>
        <v>3183.45</v>
      </c>
      <c r="K101" s="5">
        <f>I101+J101</f>
        <v>11019.31</v>
      </c>
      <c r="L101" s="6"/>
    </row>
    <row r="102" spans="1:12" s="14" customFormat="1" ht="12.75">
      <c r="A102" s="3">
        <v>11155</v>
      </c>
      <c r="B102" s="7" t="s">
        <v>283</v>
      </c>
      <c r="C102" s="7" t="s">
        <v>284</v>
      </c>
      <c r="D102" s="8" t="s">
        <v>77</v>
      </c>
      <c r="E102" s="8" t="s">
        <v>259</v>
      </c>
      <c r="F102" s="4">
        <v>41767</v>
      </c>
      <c r="G102" s="4">
        <v>41798</v>
      </c>
      <c r="H102" s="4" t="s">
        <v>9</v>
      </c>
      <c r="I102" s="5">
        <v>354.75</v>
      </c>
      <c r="J102" s="5">
        <f>154.24-7.1</f>
        <v>147.14000000000001</v>
      </c>
      <c r="K102" s="5">
        <f>I102+J102</f>
        <v>501.89</v>
      </c>
      <c r="L102" s="6" t="s">
        <v>268</v>
      </c>
    </row>
    <row r="103" spans="1:12" s="14" customFormat="1" ht="24.75" customHeight="1">
      <c r="A103" s="33" t="s">
        <v>302</v>
      </c>
      <c r="B103" s="33"/>
      <c r="C103" s="33"/>
      <c r="D103" s="33"/>
      <c r="E103" s="33"/>
      <c r="F103" s="33"/>
      <c r="G103" s="33"/>
      <c r="H103" s="33"/>
      <c r="I103" s="13">
        <f>SUM(I98:I102)</f>
        <v>24659.69</v>
      </c>
      <c r="J103" s="13">
        <f>SUM(J98:J102)</f>
        <v>9913.54</v>
      </c>
      <c r="K103" s="13">
        <f>SUM(K98:K102)</f>
        <v>34573.229999999996</v>
      </c>
      <c r="L103" s="6"/>
    </row>
    <row r="104" spans="1:12" s="14" customFormat="1" ht="12.75">
      <c r="A104" s="1" t="s">
        <v>10</v>
      </c>
      <c r="B104" s="2" t="s">
        <v>11</v>
      </c>
      <c r="C104" s="2" t="s">
        <v>12</v>
      </c>
      <c r="D104" s="1" t="s">
        <v>13</v>
      </c>
      <c r="E104" s="1" t="s">
        <v>257</v>
      </c>
      <c r="F104" s="4">
        <v>41309</v>
      </c>
      <c r="G104" s="4">
        <v>42403</v>
      </c>
      <c r="H104" s="10" t="s">
        <v>9</v>
      </c>
      <c r="I104" s="5">
        <v>7610.49</v>
      </c>
      <c r="J104" s="5">
        <f>3158.86-137.91</f>
        <v>3020.9500000000003</v>
      </c>
      <c r="K104" s="5">
        <f>I104+J104</f>
        <v>10631.44</v>
      </c>
      <c r="L104" s="6"/>
    </row>
    <row r="105" spans="1:12" s="14" customFormat="1" ht="24.75" customHeight="1">
      <c r="A105" s="33" t="s">
        <v>303</v>
      </c>
      <c r="B105" s="33"/>
      <c r="C105" s="33"/>
      <c r="D105" s="33"/>
      <c r="E105" s="33"/>
      <c r="F105" s="33"/>
      <c r="G105" s="33"/>
      <c r="H105" s="33"/>
      <c r="I105" s="13">
        <f>SUM(I104)</f>
        <v>7610.49</v>
      </c>
      <c r="J105" s="13">
        <f>SUM(J104)</f>
        <v>3020.9500000000003</v>
      </c>
      <c r="K105" s="13">
        <f>SUM(K104)</f>
        <v>10631.44</v>
      </c>
      <c r="L105" s="6"/>
    </row>
    <row r="106" spans="9:11" ht="12.75">
      <c r="I106" s="30"/>
      <c r="J106" s="30"/>
      <c r="K106" s="30"/>
    </row>
    <row r="109" ht="12.75">
      <c r="K109" s="32"/>
    </row>
  </sheetData>
  <sheetProtection/>
  <mergeCells count="15">
    <mergeCell ref="E1:E2"/>
    <mergeCell ref="F1:F2"/>
    <mergeCell ref="G1:G2"/>
    <mergeCell ref="H1:H2"/>
    <mergeCell ref="I1:K1"/>
    <mergeCell ref="A105:H105"/>
    <mergeCell ref="A9:H9"/>
    <mergeCell ref="A82:H82"/>
    <mergeCell ref="A97:H97"/>
    <mergeCell ref="A103:H103"/>
    <mergeCell ref="L1:L2"/>
    <mergeCell ref="A1:A2"/>
    <mergeCell ref="B1:B2"/>
    <mergeCell ref="C1:C2"/>
    <mergeCell ref="D1:D2"/>
  </mergeCells>
  <printOptions/>
  <pageMargins left="0.17" right="0.17" top="0.16" bottom="0.19" header="0.15" footer="0.16"/>
  <pageSetup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F1"/>
    </sheetView>
  </sheetViews>
  <sheetFormatPr defaultColWidth="9.140625" defaultRowHeight="12.75"/>
  <cols>
    <col min="3" max="3" width="3.57421875" style="0" customWidth="1"/>
    <col min="4" max="6" width="20.7109375" style="0" customWidth="1"/>
  </cols>
  <sheetData>
    <row r="1" spans="1:8" ht="24.75" customHeight="1">
      <c r="A1" s="37" t="s">
        <v>310</v>
      </c>
      <c r="B1" s="38"/>
      <c r="C1" s="38"/>
      <c r="D1" s="38"/>
      <c r="E1" s="38"/>
      <c r="F1" s="38"/>
      <c r="G1" s="17"/>
      <c r="H1" s="17"/>
    </row>
    <row r="2" spans="1:6" ht="12.75">
      <c r="A2" s="18"/>
      <c r="B2" s="18"/>
      <c r="C2" s="18"/>
      <c r="D2" s="18"/>
      <c r="E2" s="18"/>
      <c r="F2" s="18"/>
    </row>
    <row r="3" spans="1:6" ht="33" customHeight="1">
      <c r="A3" s="19"/>
      <c r="B3" s="20"/>
      <c r="C3" s="20"/>
      <c r="D3" s="21" t="s">
        <v>304</v>
      </c>
      <c r="E3" s="21" t="s">
        <v>261</v>
      </c>
      <c r="F3" s="21" t="s">
        <v>262</v>
      </c>
    </row>
    <row r="4" spans="1:6" ht="9.75" customHeight="1">
      <c r="A4" s="39"/>
      <c r="B4" s="39"/>
      <c r="C4" s="39"/>
      <c r="D4" s="39"/>
      <c r="E4" s="39"/>
      <c r="F4" s="39"/>
    </row>
    <row r="5" spans="1:6" ht="24.75" customHeight="1">
      <c r="A5" s="40" t="s">
        <v>305</v>
      </c>
      <c r="B5" s="41"/>
      <c r="C5" s="20"/>
      <c r="D5" s="22">
        <v>20675</v>
      </c>
      <c r="E5" s="22">
        <v>7626.02</v>
      </c>
      <c r="F5" s="22">
        <f>SUM(D5:E5)</f>
        <v>28301.02</v>
      </c>
    </row>
    <row r="6" spans="1:6" ht="9.75" customHeight="1">
      <c r="A6" s="42"/>
      <c r="B6" s="42"/>
      <c r="C6" s="42"/>
      <c r="D6" s="42"/>
      <c r="E6" s="42"/>
      <c r="F6" s="42"/>
    </row>
    <row r="7" spans="1:6" ht="24.75" customHeight="1">
      <c r="A7" s="40" t="s">
        <v>306</v>
      </c>
      <c r="B7" s="41"/>
      <c r="C7" s="20"/>
      <c r="D7" s="22">
        <v>368146.16</v>
      </c>
      <c r="E7" s="22">
        <v>145292.2</v>
      </c>
      <c r="F7" s="22">
        <f>SUM(D7:E7)</f>
        <v>513438.36</v>
      </c>
    </row>
    <row r="8" spans="1:6" ht="9.75" customHeight="1">
      <c r="A8" s="42"/>
      <c r="B8" s="42"/>
      <c r="C8" s="42"/>
      <c r="D8" s="42"/>
      <c r="E8" s="42"/>
      <c r="F8" s="42"/>
    </row>
    <row r="9" spans="1:6" ht="24.75" customHeight="1">
      <c r="A9" s="40" t="s">
        <v>307</v>
      </c>
      <c r="B9" s="41"/>
      <c r="C9" s="20"/>
      <c r="D9" s="22">
        <v>24659.69</v>
      </c>
      <c r="E9" s="22">
        <v>9913.54</v>
      </c>
      <c r="F9" s="22">
        <f>SUM(D9:E9)</f>
        <v>34573.229999999996</v>
      </c>
    </row>
    <row r="10" spans="1:6" ht="9.75" customHeight="1">
      <c r="A10" s="42"/>
      <c r="B10" s="42"/>
      <c r="C10" s="42"/>
      <c r="D10" s="42"/>
      <c r="E10" s="42"/>
      <c r="F10" s="42"/>
    </row>
    <row r="11" spans="1:6" ht="24.75" customHeight="1">
      <c r="A11" s="40" t="s">
        <v>308</v>
      </c>
      <c r="B11" s="41"/>
      <c r="C11" s="20"/>
      <c r="D11" s="22">
        <v>7610.49</v>
      </c>
      <c r="E11" s="22">
        <v>3020.95</v>
      </c>
      <c r="F11" s="22">
        <f>SUM(D11:E11)</f>
        <v>10631.439999999999</v>
      </c>
    </row>
    <row r="12" spans="1:6" ht="9.75" customHeight="1">
      <c r="A12" s="42"/>
      <c r="B12" s="42"/>
      <c r="C12" s="42"/>
      <c r="D12" s="42"/>
      <c r="E12" s="42"/>
      <c r="F12" s="42"/>
    </row>
    <row r="13" spans="1:6" ht="24.75" customHeight="1">
      <c r="A13" s="40" t="s">
        <v>256</v>
      </c>
      <c r="B13" s="41"/>
      <c r="C13" s="20"/>
      <c r="D13" s="22">
        <v>43728.05</v>
      </c>
      <c r="E13" s="22">
        <v>13840.49</v>
      </c>
      <c r="F13" s="22">
        <f>SUM(D13:E13)</f>
        <v>57568.54</v>
      </c>
    </row>
    <row r="14" spans="1:6" ht="9.75" customHeight="1">
      <c r="A14" s="45"/>
      <c r="B14" s="45"/>
      <c r="C14" s="45"/>
      <c r="D14" s="45"/>
      <c r="E14" s="45"/>
      <c r="F14" s="45"/>
    </row>
    <row r="15" spans="1:6" ht="24.75" customHeight="1">
      <c r="A15" s="43" t="s">
        <v>309</v>
      </c>
      <c r="B15" s="44"/>
      <c r="D15" s="23">
        <f>SUM(D5,D7,D9,D11,D13)</f>
        <v>464819.38999999996</v>
      </c>
      <c r="E15" s="23">
        <f>SUM(E5,E7,E9,E11,E13)</f>
        <v>179693.2</v>
      </c>
      <c r="F15" s="23">
        <f>SUM(F5,F7,F9,F11,F13)</f>
        <v>644512.59</v>
      </c>
    </row>
  </sheetData>
  <sheetProtection/>
  <mergeCells count="13">
    <mergeCell ref="A9:B9"/>
    <mergeCell ref="A10:F10"/>
    <mergeCell ref="A15:B15"/>
    <mergeCell ref="A11:B11"/>
    <mergeCell ref="A12:F12"/>
    <mergeCell ref="A13:B13"/>
    <mergeCell ref="A14:F14"/>
    <mergeCell ref="A1:F1"/>
    <mergeCell ref="A4:F4"/>
    <mergeCell ref="A5:B5"/>
    <mergeCell ref="A6:F6"/>
    <mergeCell ref="A7:B7"/>
    <mergeCell ref="A8:F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UniPG</cp:lastModifiedBy>
  <cp:lastPrinted>2014-11-25T15:00:14Z</cp:lastPrinted>
  <dcterms:created xsi:type="dcterms:W3CDTF">2014-11-21T12:35:05Z</dcterms:created>
  <dcterms:modified xsi:type="dcterms:W3CDTF">2014-11-26T07:37:01Z</dcterms:modified>
  <cp:category/>
  <cp:version/>
  <cp:contentType/>
  <cp:contentStatus/>
</cp:coreProperties>
</file>